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ลงเวป อบต\"/>
    </mc:Choice>
  </mc:AlternateContent>
  <bookViews>
    <workbookView xWindow="120" yWindow="495" windowWidth="20730" windowHeight="9600" activeTab="2"/>
  </bookViews>
  <sheets>
    <sheet name="ข้อ 8.2(64-66)" sheetId="10" r:id="rId1"/>
    <sheet name="ข้อ 9 ภาระ คชจ. 64-66" sheetId="6" r:id="rId2"/>
    <sheet name="ข้อ 11 บัญชีแสดงฯ(64-66)" sheetId="5" r:id="rId3"/>
    <sheet name="แนบท้ายคำสั่งจัดคนลงสู่ตำแหน่ง" sheetId="12" r:id="rId4"/>
    <sheet name="คชจ.พนง.จ้าง" sheetId="9" r:id="rId5"/>
  </sheets>
  <calcPr calcId="152511"/>
</workbook>
</file>

<file path=xl/calcChain.xml><?xml version="1.0" encoding="utf-8"?>
<calcChain xmlns="http://schemas.openxmlformats.org/spreadsheetml/2006/main">
  <c r="J215" i="12" l="1"/>
  <c r="M211" i="12"/>
  <c r="J211" i="12"/>
  <c r="J208" i="12"/>
  <c r="M208" i="12" s="1"/>
  <c r="J194" i="12"/>
  <c r="M194" i="12" s="1"/>
  <c r="J186" i="12"/>
  <c r="M186" i="12" s="1"/>
  <c r="M183" i="12"/>
  <c r="J183" i="12"/>
  <c r="J175" i="12"/>
  <c r="M175" i="12" s="1"/>
  <c r="J172" i="12"/>
  <c r="M172" i="12" s="1"/>
  <c r="J156" i="12"/>
  <c r="M156" i="12" s="1"/>
  <c r="M153" i="12"/>
  <c r="J153" i="12"/>
  <c r="J151" i="12"/>
  <c r="M151" i="12" s="1"/>
  <c r="K149" i="12"/>
  <c r="J149" i="12"/>
  <c r="M149" i="12" s="1"/>
  <c r="M145" i="12"/>
  <c r="J145" i="12"/>
  <c r="J143" i="12"/>
  <c r="M143" i="12" s="1"/>
  <c r="M141" i="12"/>
  <c r="J141" i="12"/>
  <c r="J139" i="12"/>
  <c r="M139" i="12" s="1"/>
  <c r="M127" i="12"/>
  <c r="J127" i="12"/>
  <c r="J125" i="12"/>
  <c r="M125" i="12" s="1"/>
  <c r="M123" i="12"/>
  <c r="J123" i="12"/>
  <c r="J120" i="12"/>
  <c r="M120" i="12" s="1"/>
  <c r="M118" i="12"/>
  <c r="J118" i="12"/>
  <c r="J116" i="12"/>
  <c r="M116" i="12" s="1"/>
  <c r="J113" i="12"/>
  <c r="J111" i="12"/>
  <c r="M111" i="12" s="1"/>
  <c r="J109" i="12"/>
  <c r="M109" i="12" s="1"/>
  <c r="J107" i="12"/>
  <c r="M107" i="12" s="1"/>
  <c r="J105" i="12"/>
  <c r="M105" i="12" s="1"/>
  <c r="K96" i="12"/>
  <c r="J96" i="12"/>
  <c r="M96" i="12" s="1"/>
  <c r="M92" i="12"/>
  <c r="J92" i="12"/>
  <c r="J90" i="12"/>
  <c r="M90" i="12" s="1"/>
  <c r="M87" i="12"/>
  <c r="J87" i="12"/>
  <c r="J84" i="12"/>
  <c r="M84" i="12" s="1"/>
  <c r="J82" i="12"/>
  <c r="J80" i="12"/>
  <c r="J78" i="12"/>
  <c r="M78" i="12" s="1"/>
  <c r="J76" i="12"/>
  <c r="J74" i="12"/>
  <c r="M74" i="12" s="1"/>
  <c r="K72" i="12"/>
  <c r="M72" i="12" s="1"/>
  <c r="J72" i="12"/>
  <c r="J60" i="12"/>
  <c r="M60" i="12" s="1"/>
  <c r="M58" i="12"/>
  <c r="J58" i="12"/>
  <c r="J56" i="12"/>
  <c r="M56" i="12" s="1"/>
  <c r="M53" i="12"/>
  <c r="J53" i="12"/>
  <c r="J51" i="12"/>
  <c r="M51" i="12" s="1"/>
  <c r="M48" i="12"/>
  <c r="J48" i="12"/>
  <c r="J46" i="12"/>
  <c r="M46" i="12" s="1"/>
  <c r="M44" i="12"/>
  <c r="J44" i="12"/>
  <c r="J42" i="12"/>
  <c r="M42" i="12" s="1"/>
  <c r="M40" i="12"/>
  <c r="J40" i="12"/>
  <c r="J30" i="12"/>
  <c r="J28" i="12"/>
  <c r="M28" i="12" s="1"/>
  <c r="J26" i="12"/>
  <c r="M26" i="12" s="1"/>
  <c r="J24" i="12"/>
  <c r="M24" i="12" s="1"/>
  <c r="J22" i="12"/>
  <c r="M22" i="12" s="1"/>
  <c r="J20" i="12"/>
  <c r="M20" i="12" s="1"/>
  <c r="J18" i="12"/>
  <c r="M18" i="12" s="1"/>
  <c r="J16" i="12"/>
  <c r="M16" i="12" s="1"/>
  <c r="K12" i="12"/>
  <c r="J12" i="12"/>
  <c r="M12" i="12" s="1"/>
  <c r="M8" i="12"/>
  <c r="K8" i="12"/>
  <c r="J8" i="12"/>
  <c r="L6" i="12"/>
  <c r="M6" i="12" s="1"/>
  <c r="K6" i="12"/>
  <c r="J6" i="12"/>
  <c r="N106" i="6" l="1"/>
  <c r="Q106" i="6" s="1"/>
  <c r="F106" i="6"/>
  <c r="F105" i="6"/>
  <c r="J153" i="5"/>
  <c r="M153" i="5" s="1"/>
  <c r="E148" i="6"/>
  <c r="O106" i="6" l="1"/>
  <c r="R106" i="6" s="1"/>
  <c r="P106" i="6"/>
  <c r="F156" i="10"/>
  <c r="E156" i="10"/>
  <c r="D156" i="10"/>
  <c r="S106" i="6" l="1"/>
  <c r="P147" i="6"/>
  <c r="O147" i="6"/>
  <c r="J148" i="6" l="1"/>
  <c r="I148" i="6"/>
  <c r="H148" i="6"/>
  <c r="J215" i="5"/>
  <c r="N147" i="6" s="1"/>
  <c r="D148" i="6"/>
  <c r="J208" i="5" l="1"/>
  <c r="F143" i="6" s="1"/>
  <c r="J183" i="5"/>
  <c r="J172" i="5"/>
  <c r="J156" i="5"/>
  <c r="J151" i="5"/>
  <c r="J149" i="5"/>
  <c r="J125" i="5"/>
  <c r="J123" i="5"/>
  <c r="J120" i="5"/>
  <c r="J118" i="5"/>
  <c r="J116" i="5"/>
  <c r="J111" i="5"/>
  <c r="J109" i="5"/>
  <c r="J107" i="5"/>
  <c r="J105" i="5"/>
  <c r="J96" i="5"/>
  <c r="J92" i="5"/>
  <c r="J90" i="5"/>
  <c r="J87" i="5"/>
  <c r="J78" i="5"/>
  <c r="J84" i="5"/>
  <c r="J82" i="5"/>
  <c r="J80" i="5"/>
  <c r="J76" i="5"/>
  <c r="J74" i="5"/>
  <c r="J72" i="5"/>
  <c r="J127" i="5"/>
  <c r="J53" i="5"/>
  <c r="J51" i="5"/>
  <c r="J48" i="5"/>
  <c r="J46" i="5"/>
  <c r="J44" i="5"/>
  <c r="J42" i="5"/>
  <c r="J40" i="5"/>
  <c r="J28" i="5" l="1"/>
  <c r="J26" i="5"/>
  <c r="J20" i="5"/>
  <c r="J24" i="5"/>
  <c r="J22" i="5"/>
  <c r="J18" i="5"/>
  <c r="J16" i="5"/>
  <c r="J12" i="5"/>
  <c r="J8" i="5"/>
  <c r="J6" i="5"/>
  <c r="J2" i="9"/>
  <c r="B11" i="9"/>
  <c r="B20" i="9"/>
  <c r="B19" i="9"/>
  <c r="B18" i="9"/>
  <c r="B17" i="9"/>
  <c r="B16" i="9"/>
  <c r="B15" i="9"/>
  <c r="B14" i="9"/>
  <c r="B13" i="9"/>
  <c r="B12" i="9"/>
  <c r="B10" i="9"/>
  <c r="B9" i="9"/>
  <c r="B8" i="9"/>
  <c r="B7" i="9"/>
  <c r="B6" i="9"/>
  <c r="B5" i="9"/>
  <c r="B4" i="9"/>
  <c r="B3" i="9"/>
  <c r="B2" i="9"/>
  <c r="P105" i="6"/>
  <c r="O105" i="6"/>
  <c r="N105" i="6"/>
  <c r="P104" i="6"/>
  <c r="O104" i="6"/>
  <c r="N104" i="6"/>
  <c r="P73" i="6"/>
  <c r="O73" i="6"/>
  <c r="N73" i="6"/>
  <c r="P72" i="6"/>
  <c r="O72" i="6"/>
  <c r="N72" i="6"/>
  <c r="P71" i="6"/>
  <c r="O71" i="6"/>
  <c r="N71" i="6"/>
  <c r="P70" i="6"/>
  <c r="O70" i="6"/>
  <c r="N70" i="6"/>
  <c r="P69" i="6"/>
  <c r="O69" i="6"/>
  <c r="N69" i="6"/>
  <c r="P64" i="6"/>
  <c r="O64" i="6"/>
  <c r="N64" i="6"/>
  <c r="P62" i="6"/>
  <c r="O62" i="6"/>
  <c r="N62" i="6"/>
  <c r="P59" i="6"/>
  <c r="O59" i="6"/>
  <c r="N59" i="6"/>
  <c r="P58" i="6"/>
  <c r="N58" i="6"/>
  <c r="O58" i="6" s="1"/>
  <c r="N60" i="6"/>
  <c r="P60" i="6" s="1"/>
  <c r="P57" i="6"/>
  <c r="O57" i="6"/>
  <c r="N57" i="6"/>
  <c r="P56" i="6"/>
  <c r="O56" i="6"/>
  <c r="N56" i="6"/>
  <c r="P27" i="6"/>
  <c r="O27" i="6"/>
  <c r="N27" i="6"/>
  <c r="P26" i="6"/>
  <c r="O26" i="6"/>
  <c r="N26" i="6"/>
  <c r="P25" i="6"/>
  <c r="O25" i="6"/>
  <c r="N25" i="6"/>
  <c r="P24" i="6"/>
  <c r="O24" i="6"/>
  <c r="N24" i="6"/>
  <c r="P23" i="6"/>
  <c r="O23" i="6"/>
  <c r="N23" i="6"/>
  <c r="P22" i="6"/>
  <c r="O22" i="6"/>
  <c r="N22" i="6"/>
  <c r="N19" i="6"/>
  <c r="P21" i="6"/>
  <c r="O21" i="6"/>
  <c r="N21" i="6"/>
  <c r="P19" i="6"/>
  <c r="O19" i="6"/>
  <c r="P17" i="6"/>
  <c r="O17" i="6"/>
  <c r="N17" i="6"/>
  <c r="P16" i="6"/>
  <c r="O16" i="6"/>
  <c r="N16" i="6"/>
  <c r="O60" i="6" l="1"/>
  <c r="C156" i="10" l="1"/>
  <c r="E19" i="9" l="1"/>
  <c r="F18" i="9"/>
  <c r="E18" i="9"/>
  <c r="N118" i="6" s="1"/>
  <c r="F19" i="9" l="1"/>
  <c r="G19" i="9" s="1"/>
  <c r="G18" i="9"/>
  <c r="J18" i="9"/>
  <c r="K18" i="9" s="1"/>
  <c r="I18" i="9"/>
  <c r="O118" i="6" s="1"/>
  <c r="M2" i="9"/>
  <c r="P37" i="6" s="1"/>
  <c r="M20" i="9"/>
  <c r="P112" i="6" s="1"/>
  <c r="M19" i="9"/>
  <c r="P143" i="6" s="1"/>
  <c r="M18" i="9"/>
  <c r="P118" i="6" s="1"/>
  <c r="M17" i="9"/>
  <c r="P77" i="6" s="1"/>
  <c r="M16" i="9"/>
  <c r="P32" i="6" s="1"/>
  <c r="M15" i="9"/>
  <c r="P78" i="6" s="1"/>
  <c r="M14" i="9"/>
  <c r="P36" i="6" s="1"/>
  <c r="M13" i="9"/>
  <c r="P95" i="6" s="1"/>
  <c r="M12" i="9"/>
  <c r="P33" i="6" s="1"/>
  <c r="M11" i="9"/>
  <c r="P66" i="6" s="1"/>
  <c r="M10" i="9"/>
  <c r="P67" i="6" s="1"/>
  <c r="M9" i="9"/>
  <c r="P31" i="6" s="1"/>
  <c r="M8" i="9"/>
  <c r="P30" i="6" s="1"/>
  <c r="M7" i="9"/>
  <c r="P34" i="6" s="1"/>
  <c r="M6" i="9"/>
  <c r="P96" i="6" s="1"/>
  <c r="M5" i="9"/>
  <c r="P97" i="6" s="1"/>
  <c r="M4" i="9"/>
  <c r="P108" i="6" s="1"/>
  <c r="M3" i="9"/>
  <c r="P76" i="6" s="1"/>
  <c r="K2" i="9"/>
  <c r="J20" i="9"/>
  <c r="K20" i="9" s="1"/>
  <c r="J19" i="9"/>
  <c r="K19" i="9" s="1"/>
  <c r="J17" i="9"/>
  <c r="K17" i="9" s="1"/>
  <c r="J16" i="9"/>
  <c r="K16" i="9" s="1"/>
  <c r="J15" i="9"/>
  <c r="K15" i="9" s="1"/>
  <c r="J14" i="9"/>
  <c r="K14" i="9" s="1"/>
  <c r="J13" i="9"/>
  <c r="K13" i="9" s="1"/>
  <c r="J12" i="9"/>
  <c r="K12" i="9" s="1"/>
  <c r="J11" i="9"/>
  <c r="K11" i="9" s="1"/>
  <c r="J10" i="9"/>
  <c r="K10" i="9" s="1"/>
  <c r="J9" i="9"/>
  <c r="K9" i="9" s="1"/>
  <c r="J8" i="9"/>
  <c r="K8" i="9" s="1"/>
  <c r="J7" i="9"/>
  <c r="K7" i="9" s="1"/>
  <c r="J6" i="9"/>
  <c r="K6" i="9" s="1"/>
  <c r="J5" i="9"/>
  <c r="K5" i="9" s="1"/>
  <c r="J4" i="9"/>
  <c r="K4" i="9" s="1"/>
  <c r="J3" i="9"/>
  <c r="K3" i="9" s="1"/>
  <c r="F2" i="9"/>
  <c r="G2" i="9" s="1"/>
  <c r="I2" i="9"/>
  <c r="O37" i="6" s="1"/>
  <c r="I20" i="9"/>
  <c r="O112" i="6" s="1"/>
  <c r="I19" i="9"/>
  <c r="O143" i="6" s="1"/>
  <c r="I17" i="9"/>
  <c r="O77" i="6" s="1"/>
  <c r="I16" i="9"/>
  <c r="O32" i="6" s="1"/>
  <c r="I15" i="9"/>
  <c r="O78" i="6" s="1"/>
  <c r="I14" i="9"/>
  <c r="O36" i="6" s="1"/>
  <c r="I13" i="9"/>
  <c r="O95" i="6" s="1"/>
  <c r="I12" i="9"/>
  <c r="O33" i="6" s="1"/>
  <c r="I11" i="9"/>
  <c r="O66" i="6" s="1"/>
  <c r="I10" i="9"/>
  <c r="O67" i="6" s="1"/>
  <c r="I9" i="9"/>
  <c r="O31" i="6" s="1"/>
  <c r="I8" i="9"/>
  <c r="O30" i="6" s="1"/>
  <c r="I7" i="9"/>
  <c r="O34" i="6" s="1"/>
  <c r="I6" i="9"/>
  <c r="O96" i="6" s="1"/>
  <c r="I5" i="9"/>
  <c r="O97" i="6" s="1"/>
  <c r="I4" i="9"/>
  <c r="O108" i="6" s="1"/>
  <c r="I3" i="9"/>
  <c r="O76" i="6" s="1"/>
  <c r="E2" i="9"/>
  <c r="N37" i="6" s="1"/>
  <c r="E20" i="9"/>
  <c r="N112" i="6" s="1"/>
  <c r="N143" i="6"/>
  <c r="E17" i="9"/>
  <c r="N77" i="6" s="1"/>
  <c r="E16" i="9"/>
  <c r="N32" i="6" s="1"/>
  <c r="E15" i="9"/>
  <c r="N78" i="6" s="1"/>
  <c r="E14" i="9"/>
  <c r="N36" i="6" s="1"/>
  <c r="E13" i="9"/>
  <c r="N95" i="6" s="1"/>
  <c r="E12" i="9"/>
  <c r="N33" i="6" s="1"/>
  <c r="E11" i="9"/>
  <c r="N66" i="6" s="1"/>
  <c r="E10" i="9"/>
  <c r="N67" i="6" s="1"/>
  <c r="E9" i="9"/>
  <c r="N31" i="6" s="1"/>
  <c r="E8" i="9"/>
  <c r="N30" i="6" s="1"/>
  <c r="E7" i="9"/>
  <c r="N34" i="6" s="1"/>
  <c r="E6" i="9"/>
  <c r="N96" i="6" s="1"/>
  <c r="E5" i="9"/>
  <c r="N97" i="6" s="1"/>
  <c r="E4" i="9"/>
  <c r="N108" i="6" s="1"/>
  <c r="E3" i="9"/>
  <c r="N76" i="6" s="1"/>
  <c r="G5" i="9"/>
  <c r="F17" i="9"/>
  <c r="G17" i="9" s="1"/>
  <c r="F16" i="9"/>
  <c r="G16" i="9" s="1"/>
  <c r="F15" i="9"/>
  <c r="G15" i="9" s="1"/>
  <c r="F14" i="9"/>
  <c r="G14" i="9" s="1"/>
  <c r="F13" i="9"/>
  <c r="G13" i="9" s="1"/>
  <c r="F12" i="9"/>
  <c r="G12" i="9" s="1"/>
  <c r="F11" i="9"/>
  <c r="G11" i="9" s="1"/>
  <c r="F10" i="9"/>
  <c r="G10" i="9" s="1"/>
  <c r="F9" i="9"/>
  <c r="G9" i="9" s="1"/>
  <c r="F8" i="9"/>
  <c r="G8" i="9" s="1"/>
  <c r="F7" i="9"/>
  <c r="G7" i="9" s="1"/>
  <c r="F6" i="9"/>
  <c r="G6" i="9" s="1"/>
  <c r="F5" i="9"/>
  <c r="F4" i="9"/>
  <c r="G4" i="9" s="1"/>
  <c r="F3" i="9"/>
  <c r="G3" i="9" s="1"/>
  <c r="F20" i="9"/>
  <c r="G20" i="9" s="1"/>
  <c r="N61" i="6"/>
  <c r="F17" i="6"/>
  <c r="J175" i="5" l="1"/>
  <c r="J186" i="5"/>
  <c r="M186" i="5" s="1"/>
  <c r="J194" i="5"/>
  <c r="J211" i="5"/>
  <c r="F112" i="6"/>
  <c r="Q112" i="6" s="1"/>
  <c r="F118" i="6"/>
  <c r="Q105" i="6"/>
  <c r="F104" i="6"/>
  <c r="F108" i="6"/>
  <c r="F96" i="6"/>
  <c r="F95" i="6"/>
  <c r="F77" i="6"/>
  <c r="F76" i="6"/>
  <c r="F70" i="6"/>
  <c r="F73" i="6"/>
  <c r="J113" i="5"/>
  <c r="F74" i="6" s="1"/>
  <c r="F72" i="6"/>
  <c r="Q72" i="6" s="1"/>
  <c r="F69" i="6"/>
  <c r="F67" i="6"/>
  <c r="F66" i="6"/>
  <c r="F61" i="6"/>
  <c r="F59" i="6"/>
  <c r="Q59" i="6" s="1"/>
  <c r="R59" i="6" s="1"/>
  <c r="F58" i="6"/>
  <c r="F57" i="6"/>
  <c r="F56" i="6"/>
  <c r="F34" i="6"/>
  <c r="J30" i="5"/>
  <c r="F28" i="6" s="1"/>
  <c r="F19" i="6"/>
  <c r="K6" i="5"/>
  <c r="F16" i="6"/>
  <c r="F120" i="6" l="1"/>
  <c r="Q120" i="6" s="1"/>
  <c r="R120" i="6" s="1"/>
  <c r="S120" i="6" s="1"/>
  <c r="M211" i="5"/>
  <c r="F139" i="6"/>
  <c r="Q139" i="6" s="1"/>
  <c r="R139" i="6" s="1"/>
  <c r="S139" i="6" s="1"/>
  <c r="M194" i="5"/>
  <c r="F114" i="6"/>
  <c r="Q114" i="6" s="1"/>
  <c r="R114" i="6" s="1"/>
  <c r="S114" i="6" s="1"/>
  <c r="M175" i="5"/>
  <c r="M118" i="5"/>
  <c r="M111" i="5"/>
  <c r="M48" i="5"/>
  <c r="M92" i="5"/>
  <c r="M78" i="5"/>
  <c r="M90" i="5"/>
  <c r="M53" i="5"/>
  <c r="F37" i="6"/>
  <c r="Q37" i="6" s="1"/>
  <c r="R37" i="6" s="1"/>
  <c r="S37" i="6" s="1"/>
  <c r="M208" i="5"/>
  <c r="M18" i="5"/>
  <c r="F22" i="6"/>
  <c r="Q22" i="6" s="1"/>
  <c r="R22" i="6" s="1"/>
  <c r="M84" i="5"/>
  <c r="F62" i="6"/>
  <c r="Q62" i="6" s="1"/>
  <c r="R62" i="6" s="1"/>
  <c r="M105" i="5"/>
  <c r="M46" i="5"/>
  <c r="F33" i="6"/>
  <c r="M172" i="5"/>
  <c r="M16" i="5"/>
  <c r="F21" i="6"/>
  <c r="Q21" i="6" s="1"/>
  <c r="M74" i="5"/>
  <c r="M87" i="5"/>
  <c r="F64" i="6"/>
  <c r="M107" i="5"/>
  <c r="F71" i="6"/>
  <c r="M116" i="5"/>
  <c r="M127" i="5"/>
  <c r="F97" i="6"/>
  <c r="M26" i="5"/>
  <c r="F26" i="6"/>
  <c r="M156" i="5"/>
  <c r="M40" i="5"/>
  <c r="F30" i="6"/>
  <c r="Q30" i="6" s="1"/>
  <c r="M22" i="5"/>
  <c r="F24" i="6"/>
  <c r="F60" i="6"/>
  <c r="M125" i="5"/>
  <c r="M24" i="5"/>
  <c r="F25" i="6"/>
  <c r="Q25" i="6" s="1"/>
  <c r="R25" i="6" s="1"/>
  <c r="S25" i="6" s="1"/>
  <c r="M42" i="5"/>
  <c r="F31" i="6"/>
  <c r="M109" i="5"/>
  <c r="M151" i="5"/>
  <c r="M123" i="5"/>
  <c r="M20" i="5"/>
  <c r="F23" i="6"/>
  <c r="F145" i="6"/>
  <c r="Q145" i="6" s="1"/>
  <c r="R145" i="6" s="1"/>
  <c r="S145" i="6" s="1"/>
  <c r="M28" i="5"/>
  <c r="F27" i="6"/>
  <c r="M51" i="5"/>
  <c r="F36" i="6"/>
  <c r="Q36" i="6" s="1"/>
  <c r="M183" i="5"/>
  <c r="Q97" i="6" l="1"/>
  <c r="R97" i="6" s="1"/>
  <c r="S97" i="6" s="1"/>
  <c r="M44" i="5" l="1"/>
  <c r="F32" i="6"/>
  <c r="F78" i="6"/>
  <c r="M120" i="5"/>
  <c r="K72" i="5" l="1"/>
  <c r="M72" i="5" l="1"/>
  <c r="G56" i="6"/>
  <c r="Q56" i="6" s="1"/>
  <c r="K149" i="5" l="1"/>
  <c r="G104" i="6" l="1"/>
  <c r="Q104" i="6" s="1"/>
  <c r="M149" i="5"/>
  <c r="S22" i="6"/>
  <c r="K8" i="5"/>
  <c r="L6" i="5"/>
  <c r="S54" i="6"/>
  <c r="R54" i="6"/>
  <c r="Q54" i="6"/>
  <c r="Q96" i="6"/>
  <c r="N74" i="6"/>
  <c r="O61" i="6"/>
  <c r="S53" i="6"/>
  <c r="R53" i="6"/>
  <c r="Q53" i="6"/>
  <c r="S52" i="6"/>
  <c r="R52" i="6"/>
  <c r="Q52" i="6"/>
  <c r="N28" i="6"/>
  <c r="M6" i="5" l="1"/>
  <c r="G16" i="6"/>
  <c r="M8" i="5"/>
  <c r="G17" i="6"/>
  <c r="Q17" i="6" s="1"/>
  <c r="R17" i="6" s="1"/>
  <c r="S17" i="6" s="1"/>
  <c r="Q28" i="6"/>
  <c r="Q27" i="6"/>
  <c r="Q70" i="6"/>
  <c r="R70" i="6" s="1"/>
  <c r="S70" i="6" s="1"/>
  <c r="Q143" i="6"/>
  <c r="R143" i="6" s="1"/>
  <c r="S143" i="6" s="1"/>
  <c r="Q78" i="6"/>
  <c r="R78" i="6" s="1"/>
  <c r="S78" i="6" s="1"/>
  <c r="R105" i="6"/>
  <c r="S105" i="6" s="1"/>
  <c r="Q118" i="6"/>
  <c r="R118" i="6" s="1"/>
  <c r="R112" i="6"/>
  <c r="S112" i="6" s="1"/>
  <c r="Q95" i="6"/>
  <c r="R95" i="6" s="1"/>
  <c r="S95" i="6" s="1"/>
  <c r="Q76" i="6"/>
  <c r="R76" i="6" s="1"/>
  <c r="S76" i="6" s="1"/>
  <c r="Q77" i="6"/>
  <c r="R77" i="6" s="1"/>
  <c r="S77" i="6" s="1"/>
  <c r="Q108" i="6"/>
  <c r="R108" i="6" s="1"/>
  <c r="S108" i="6" s="1"/>
  <c r="S59" i="6"/>
  <c r="Q71" i="6"/>
  <c r="Q26" i="6"/>
  <c r="R26" i="6" s="1"/>
  <c r="S26" i="6" s="1"/>
  <c r="R30" i="6"/>
  <c r="S30" i="6" s="1"/>
  <c r="Q34" i="6"/>
  <c r="R34" i="6" s="1"/>
  <c r="S34" i="6" s="1"/>
  <c r="Q60" i="6"/>
  <c r="Q74" i="6"/>
  <c r="R96" i="6"/>
  <c r="S96" i="6" s="1"/>
  <c r="Q64" i="6"/>
  <c r="R64" i="6" s="1"/>
  <c r="S64" i="6" s="1"/>
  <c r="Q67" i="6"/>
  <c r="R67" i="6" s="1"/>
  <c r="S67" i="6" s="1"/>
  <c r="R72" i="6"/>
  <c r="S72" i="6" s="1"/>
  <c r="Q32" i="6"/>
  <c r="R32" i="6" s="1"/>
  <c r="S32" i="6" s="1"/>
  <c r="Q33" i="6"/>
  <c r="R33" i="6" s="1"/>
  <c r="S33" i="6" s="1"/>
  <c r="Q24" i="6"/>
  <c r="R24" i="6" s="1"/>
  <c r="S24" i="6" s="1"/>
  <c r="R56" i="6"/>
  <c r="S56" i="6" s="1"/>
  <c r="S62" i="6"/>
  <c r="Q66" i="6"/>
  <c r="R66" i="6" s="1"/>
  <c r="S66" i="6" s="1"/>
  <c r="R36" i="6"/>
  <c r="S36" i="6" s="1"/>
  <c r="Q61" i="6"/>
  <c r="R61" i="6" s="1"/>
  <c r="R21" i="6"/>
  <c r="S21" i="6" s="1"/>
  <c r="Q23" i="6"/>
  <c r="R23" i="6" s="1"/>
  <c r="S23" i="6" s="1"/>
  <c r="P61" i="6"/>
  <c r="Q31" i="6"/>
  <c r="R31" i="6" s="1"/>
  <c r="S31" i="6" s="1"/>
  <c r="Q73" i="6"/>
  <c r="Q58" i="6"/>
  <c r="O28" i="6"/>
  <c r="P74" i="6"/>
  <c r="O74" i="6"/>
  <c r="P28" i="6"/>
  <c r="Q57" i="6"/>
  <c r="R57" i="6" s="1"/>
  <c r="S57" i="6" s="1"/>
  <c r="Q16" i="6" l="1"/>
  <c r="R104" i="6"/>
  <c r="S104" i="6" s="1"/>
  <c r="S118" i="6"/>
  <c r="R71" i="6"/>
  <c r="S71" i="6" s="1"/>
  <c r="R74" i="6"/>
  <c r="S74" i="6" s="1"/>
  <c r="R60" i="6"/>
  <c r="S60" i="6" s="1"/>
  <c r="R27" i="6"/>
  <c r="S27" i="6" s="1"/>
  <c r="R73" i="6"/>
  <c r="S73" i="6" s="1"/>
  <c r="S61" i="6"/>
  <c r="R28" i="6"/>
  <c r="S28" i="6" s="1"/>
  <c r="R58" i="6"/>
  <c r="S58" i="6" s="1"/>
  <c r="R16" i="6" l="1"/>
  <c r="S16" i="6" l="1"/>
  <c r="J145" i="5" l="1"/>
  <c r="J143" i="5"/>
  <c r="J141" i="5"/>
  <c r="J139" i="5"/>
  <c r="K96" i="5"/>
  <c r="J60" i="5"/>
  <c r="J58" i="5"/>
  <c r="J56" i="5"/>
  <c r="K12" i="5"/>
  <c r="F52" i="6" l="1"/>
  <c r="M56" i="5"/>
  <c r="F54" i="6"/>
  <c r="M58" i="5"/>
  <c r="F101" i="6"/>
  <c r="Q101" i="6" s="1"/>
  <c r="R101" i="6" s="1"/>
  <c r="S101" i="6" s="1"/>
  <c r="M139" i="5"/>
  <c r="M60" i="5"/>
  <c r="F53" i="6"/>
  <c r="G69" i="6"/>
  <c r="Q69" i="6" s="1"/>
  <c r="R69" i="6" s="1"/>
  <c r="S69" i="6" s="1"/>
  <c r="M96" i="5"/>
  <c r="F102" i="6"/>
  <c r="M141" i="5"/>
  <c r="F99" i="6"/>
  <c r="Q99" i="6" s="1"/>
  <c r="R99" i="6" s="1"/>
  <c r="S99" i="6" s="1"/>
  <c r="M143" i="5"/>
  <c r="M12" i="5"/>
  <c r="G19" i="6"/>
  <c r="G148" i="6" s="1"/>
  <c r="F100" i="6"/>
  <c r="Q100" i="6" s="1"/>
  <c r="R100" i="6" s="1"/>
  <c r="S100" i="6" s="1"/>
  <c r="M145" i="5"/>
  <c r="F148" i="6" l="1"/>
  <c r="Q102" i="6"/>
  <c r="R102" i="6" s="1"/>
  <c r="S102" i="6" s="1"/>
  <c r="Q19" i="6"/>
  <c r="R19" i="6" l="1"/>
  <c r="S19" i="6" l="1"/>
  <c r="O148" i="6"/>
  <c r="N148" i="6"/>
  <c r="P148" i="6"/>
  <c r="Q148" i="6"/>
  <c r="Q147" i="6"/>
  <c r="R147" i="6" s="1"/>
  <c r="R148" i="6" s="1"/>
  <c r="R149" i="6" s="1"/>
  <c r="S147" i="6" l="1"/>
  <c r="S148" i="6" s="1"/>
  <c r="S149" i="6" s="1"/>
  <c r="S150" i="6" s="1"/>
  <c r="S151" i="6" s="1"/>
  <c r="Q149" i="6"/>
  <c r="Q150" i="6" s="1"/>
  <c r="Q151" i="6" s="1"/>
  <c r="R150" i="6"/>
  <c r="R151" i="6" s="1"/>
</calcChain>
</file>

<file path=xl/sharedStrings.xml><?xml version="1.0" encoding="utf-8"?>
<sst xmlns="http://schemas.openxmlformats.org/spreadsheetml/2006/main" count="2237" uniqueCount="471">
  <si>
    <t xml:space="preserve">                       </t>
  </si>
  <si>
    <t>ที่</t>
  </si>
  <si>
    <t>ชื่อสายงาน</t>
  </si>
  <si>
    <t>กรอบ</t>
  </si>
  <si>
    <t>อัตราตำแหน่งที่คาดว่าจะต้องใช้</t>
  </si>
  <si>
    <t>อัตรากำลังคน</t>
  </si>
  <si>
    <t xml:space="preserve"> หมายเหตุ</t>
  </si>
  <si>
    <t>อัตรากำลัง</t>
  </si>
  <si>
    <t>ในช่วงระยะ 3 ปีข้างหน้า</t>
  </si>
  <si>
    <t>เพิ่ม/ลด</t>
  </si>
  <si>
    <t>เดิม</t>
  </si>
  <si>
    <t>ปลัดองค์การบริหารส่วนตำบล</t>
  </si>
  <si>
    <t>รองปลัดองค์การบริหารส่วนตำบล</t>
  </si>
  <si>
    <t>สำนักงานปลัด อบต. (01)</t>
  </si>
  <si>
    <t>หัวหน้าสำนักปลัด</t>
  </si>
  <si>
    <t>เจ้าพนักงานป้องกันและบรรเทาสาธารณภัย(ปง./ชง.)</t>
  </si>
  <si>
    <t>พนักงานจ้างตามภารกิจ (มีคุณวุฒิ)</t>
  </si>
  <si>
    <t>ผู้ช่วยหัวหน้าศูนย์พัฒนาเด็กเล็ก</t>
  </si>
  <si>
    <t>ผู้ช่วยนักวิชาการศึกษา</t>
  </si>
  <si>
    <t>ผู้ช่วยเจ้าพนักงานส่งเสริมการท่องเที่ยว</t>
  </si>
  <si>
    <t>พนักงานขับรถยนต์</t>
  </si>
  <si>
    <t>พนักงานจ้างทั่วไป</t>
  </si>
  <si>
    <t>พนักงานขับเครื่องจักรกลขนาดเบา</t>
  </si>
  <si>
    <t>ยาม</t>
  </si>
  <si>
    <t>กองคลัง (04)</t>
  </si>
  <si>
    <t>ผู้อำนวยการกองคลัง</t>
  </si>
  <si>
    <t>ลูกจ้างประจำ</t>
  </si>
  <si>
    <t>กองช่าง (05)</t>
  </si>
  <si>
    <t>ผู้อำนวยการกองช่าง</t>
  </si>
  <si>
    <t>นายช่างโยธา  (ปง./ชง.)</t>
  </si>
  <si>
    <t>พนักงานผลิตน้ำประปา</t>
  </si>
  <si>
    <t>รวม</t>
  </si>
  <si>
    <t>ชื่อ - สกุล</t>
  </si>
  <si>
    <t>คุณวุฒิ</t>
  </si>
  <si>
    <t>กรอบอัตรากำลังเดิม</t>
  </si>
  <si>
    <t>กรอบอัตรากำลังใหม่</t>
  </si>
  <si>
    <t>เงินเดือน</t>
  </si>
  <si>
    <t>การศึกษา</t>
  </si>
  <si>
    <t>เลขที่ตำแหน่ง</t>
  </si>
  <si>
    <t>ตำแหน่ง</t>
  </si>
  <si>
    <t>ระดับ</t>
  </si>
  <si>
    <t>เงินประจำตำแหน่ง</t>
  </si>
  <si>
    <t>หมายเหตุ</t>
  </si>
  <si>
    <t>นายชำนาญ  เกิดบัวทอง</t>
  </si>
  <si>
    <t>21-3-00-1101-001</t>
  </si>
  <si>
    <t>กลาง</t>
  </si>
  <si>
    <t>(นักบริหารงานท้องถิ่น)</t>
  </si>
  <si>
    <t xml:space="preserve"> -ว่าง-</t>
  </si>
  <si>
    <t>21-3-00-1101-002</t>
  </si>
  <si>
    <t>ต้น</t>
  </si>
  <si>
    <t>พนักงานส่วนตำบล</t>
  </si>
  <si>
    <t>นางสุปาณี   มณีฉาย</t>
  </si>
  <si>
    <t>21-3-01-2101-001</t>
  </si>
  <si>
    <t>(นักบริหารงานทั่วไป)</t>
  </si>
  <si>
    <t>21-3-01-3103-001</t>
  </si>
  <si>
    <t>นักวิเคราะห์นโยบายและแผน</t>
  </si>
  <si>
    <t>ชก.</t>
  </si>
  <si>
    <t>นักวิชาการเกษตร</t>
  </si>
  <si>
    <t>21-3-01-3401-001</t>
  </si>
  <si>
    <t>นางพรนภา    จิ้วฮวด</t>
  </si>
  <si>
    <t>21-3-01-3102-001</t>
  </si>
  <si>
    <t>นักทรัพยากรบุคคล</t>
  </si>
  <si>
    <t>นางสาวกิจกาล   เดชาฐาน</t>
  </si>
  <si>
    <t xml:space="preserve">นักพัฒนาชุมชน </t>
  </si>
  <si>
    <t>21-3-01-3801-001</t>
  </si>
  <si>
    <t>ปก.</t>
  </si>
  <si>
    <t>นิติกร</t>
  </si>
  <si>
    <t>21-3-01-3105-001</t>
  </si>
  <si>
    <t>21-3-01-3101-001</t>
  </si>
  <si>
    <t>นักจัดการงานทั่วไป</t>
  </si>
  <si>
    <t>21--3-01-4601-001</t>
  </si>
  <si>
    <t>ปง./ชง.</t>
  </si>
  <si>
    <t>เจ้าพนักงานป้องกันฯ</t>
  </si>
  <si>
    <t>21-3-01-4805-001</t>
  </si>
  <si>
    <t>นายโกสินทร์   อินทร์แป็น</t>
  </si>
  <si>
    <t>21-3-01-4101-001</t>
  </si>
  <si>
    <t>เจ้าพนักงานธุรการ</t>
  </si>
  <si>
    <t>ปง.</t>
  </si>
  <si>
    <t>นางสาวสุพรรณษา   พันธรักษ์</t>
  </si>
  <si>
    <t>ครู (ค.ศ.1)</t>
  </si>
  <si>
    <t xml:space="preserve"> -</t>
  </si>
  <si>
    <t>นางวิมล   ธงรอด</t>
  </si>
  <si>
    <t>นางสุบงกช   ชอบทำกิจ</t>
  </si>
  <si>
    <t>นางมุทิตา   ลีบุญ</t>
  </si>
  <si>
    <t>นางสาวนุชนาถ    รัตนบุรี</t>
  </si>
  <si>
    <t>นางรัตนาภรณ์   จึงจะดี</t>
  </si>
  <si>
    <t>นางอารมย์   ไหมจุ้ย</t>
  </si>
  <si>
    <t>นางอุไร  สุขนิตย์</t>
  </si>
  <si>
    <t>ศศ.บ.</t>
  </si>
  <si>
    <t>นางสาวอำพา    จีนประสม</t>
  </si>
  <si>
    <t>ปวช.</t>
  </si>
  <si>
    <t>นายเอกพนธ์   สังขโชติ</t>
  </si>
  <si>
    <t>นายวิรัตรน์    ระวังสุข</t>
  </si>
  <si>
    <t>นายสราวุธ    สิทธิฤทธิ์</t>
  </si>
  <si>
    <t>นายพิษณุ    ศรีสว่าง</t>
  </si>
  <si>
    <t>นางจรรยา   ยอดพิจิตร</t>
  </si>
  <si>
    <t>21-0-04-2102-001</t>
  </si>
  <si>
    <t>(นักบริหารงานการคลัง)</t>
  </si>
  <si>
    <t>นักวิชาการเงินและบัญชี</t>
  </si>
  <si>
    <t>21-3-04-3201-001</t>
  </si>
  <si>
    <t>นักวิชาการพัสดุ</t>
  </si>
  <si>
    <t>21-3-04-3204-001</t>
  </si>
  <si>
    <t>นางจิราภรณ์    จริตงาม</t>
  </si>
  <si>
    <t>เจ้าพนักงานการเงินฯ</t>
  </si>
  <si>
    <t>21-3-04-4201-001</t>
  </si>
  <si>
    <t>ชง.</t>
  </si>
  <si>
    <t>เจ้าพนักงานพัสดุ</t>
  </si>
  <si>
    <t>21-3-04-4203-001</t>
  </si>
  <si>
    <t>นางสาวอณูวรรณ    อินทะสะราช</t>
  </si>
  <si>
    <t>เจ้าพนักงานจัดเก็บรายได้</t>
  </si>
  <si>
    <t>21-3-04-4204-001</t>
  </si>
  <si>
    <t>21-3-04-4201-002</t>
  </si>
  <si>
    <t>นางทัศนีย์   ไชยรัตน์</t>
  </si>
  <si>
    <t xml:space="preserve"> - </t>
  </si>
  <si>
    <t>นางสาววรุณี    เทพรัตน์</t>
  </si>
  <si>
    <t>นางสาวสุพัตรา   รัตนคช</t>
  </si>
  <si>
    <t>นายสุชาติ   ช่วยรักษ์</t>
  </si>
  <si>
    <t>21-3-05-2103-001</t>
  </si>
  <si>
    <t>(นักบริหารงานช่าง)</t>
  </si>
  <si>
    <t>นายช่างโยธา</t>
  </si>
  <si>
    <t>21-3-05-4701-001</t>
  </si>
  <si>
    <t>นายกิตติคุณ    ชุมศรี</t>
  </si>
  <si>
    <t>21-3-05-4701-002</t>
  </si>
  <si>
    <t>21-3-05-4707-001</t>
  </si>
  <si>
    <t>นายช่างไฟฟ้า</t>
  </si>
  <si>
    <t>21-3-05-4706-001</t>
  </si>
  <si>
    <t>นางสาวนภาพร   จริตงาม</t>
  </si>
  <si>
    <t>21-3-05-4101-002</t>
  </si>
  <si>
    <t>นายสำเริง   พลเมือง</t>
  </si>
  <si>
    <t>นายเดชา   ศรีระษา</t>
  </si>
  <si>
    <t>นายธีระศักดิ์   วิพลชัย</t>
  </si>
  <si>
    <t>นายธีรพจน์    รำเทียมเมฆ</t>
  </si>
  <si>
    <t>ม.3</t>
  </si>
  <si>
    <t>พนักงานจดมาตรวัดน้ำ</t>
  </si>
  <si>
    <t>นายสนธยา    รักษาสัตย์</t>
  </si>
  <si>
    <t>-</t>
  </si>
  <si>
    <t xml:space="preserve">          องค์การบริหารส่วนตำบลเขาโร  สามารถนำผลวิเคราะห์  การกำหนดอัตรากำลังพนักงานส่วนตำบล  มาคำนวณภาระค่าใช้จ่ายด้านการบริหารงานบุคคล  เพื่อประมาณการ</t>
  </si>
  <si>
    <t>ค่าใช้จ่าย  สำหรับนำไปจัดทำข้อบัญญัติงบประมาณรายจ่ายประจำปี  และเพื่อประโยชน์ในการควบคุมค่าใช้จ่าย  ด้านการบริหารงานบุคคลไม่ให้เกินร้อยละ  40 ของงบประมาณ</t>
  </si>
  <si>
    <t>รายจ่ายประจำปี ตามที่กฎหมายกำหนด</t>
  </si>
  <si>
    <t xml:space="preserve"> </t>
  </si>
  <si>
    <t>จำนวน</t>
  </si>
  <si>
    <t>จำนวนที่มีอยู่ปัจจุบัน</t>
  </si>
  <si>
    <t>ทั้งหมด</t>
  </si>
  <si>
    <t>(คน)</t>
  </si>
  <si>
    <t>ปลัด อบต. (นักบริหารงานท้องถิ่น)</t>
  </si>
  <si>
    <t>รองปลัด อบต. (นักบริหารงานท้องถิ่น)</t>
  </si>
  <si>
    <t>หน.สำนักปลัด (นักบริหารงานทั่วไป)</t>
  </si>
  <si>
    <t>นักวิชาการศึกษา</t>
  </si>
  <si>
    <t>นักพัฒนาชุมชน</t>
  </si>
  <si>
    <t>เจ้าพนักงานป้องกันและบรรเทาสาธารณภัย</t>
  </si>
  <si>
    <t>ครู</t>
  </si>
  <si>
    <t>เจ้าพนักงานการเงินและบัญชี</t>
  </si>
  <si>
    <t xml:space="preserve">เจ้าพนักงานการเงินและบัญชี </t>
  </si>
  <si>
    <t>ผู้อำนวยการกองช่าง (นักบริหารงานช่าง)</t>
  </si>
  <si>
    <t>(5)</t>
  </si>
  <si>
    <t>(6)</t>
  </si>
  <si>
    <t>รวมเป็นค่าใช้จ่ายบุคคลทั้งสิ้น</t>
  </si>
  <si>
    <t>(7)</t>
  </si>
  <si>
    <t>รวมไม่เกินร้อยละ  40 ของงบประมาณรายจ่ายประจำปี</t>
  </si>
  <si>
    <t>กองการศึกษา ศาสนาและวัฒนธรรม (08)</t>
  </si>
  <si>
    <t>ถ่ายโอน</t>
  </si>
  <si>
    <t>ว่างเดิม</t>
  </si>
  <si>
    <t>ผู้ช่วยเจ้าพนักงานธุรการ</t>
  </si>
  <si>
    <t>ผู้ช่วยนายช่างไฟฟ้า</t>
  </si>
  <si>
    <t>ผู้ช่วยนายช่างโยธา</t>
  </si>
  <si>
    <t>ผู้ช่วยเจ้าพนักงานพัฒนาชุมชน</t>
  </si>
  <si>
    <t>ผู้ช่วยเจ้าพนักงานป้องกันและบรรเทาสาธารณภัย</t>
  </si>
  <si>
    <t>นางจรรยา   แก้วประเสริฐ</t>
  </si>
  <si>
    <t>นางสาวสุพรรณนี   เพียรดี</t>
  </si>
  <si>
    <t>ม.6</t>
  </si>
  <si>
    <t>ผู้ช่วยเจ้าพนักงานป้องกันฯ</t>
  </si>
  <si>
    <t>ผู้ช่วยช่างนายไฟฟ้า</t>
  </si>
  <si>
    <t>ผู้ช่วยเจ้าพนักงานประปา</t>
  </si>
  <si>
    <t>นายชัยณรงค์   ระวังสุข</t>
  </si>
  <si>
    <t>21-3-08-2107-001</t>
  </si>
  <si>
    <t>นักวิเคราะห์นโยบายและแผน (ปก./ชก.)</t>
  </si>
  <si>
    <t>พนักงานจ้างตามภารกิจ (ประเภทผู้มีคุณวุฒิ)</t>
  </si>
  <si>
    <t>พนักงานจ้างประเภททั่วไป</t>
  </si>
  <si>
    <t>พนักงานจ้างตามภารกิจ (ประเภทผู้มีทักษะ)</t>
  </si>
  <si>
    <t>นักวิชาการเกษตร (ปก./ชก.)</t>
  </si>
  <si>
    <t>นักทรัพยากรบุคคล (ปก./ชก.)</t>
  </si>
  <si>
    <t>นักพัฒนาชุมชน (ปก./ชก.)</t>
  </si>
  <si>
    <t xml:space="preserve">นักจัดการงานทั่วไป  (ปก./ชก.) </t>
  </si>
  <si>
    <t xml:space="preserve">เจ้าพนักงานธุรการ (ปง./ชก.) </t>
  </si>
  <si>
    <t>ผู้ช่วยเจ้าพนักงานจัดเก็บรายได้</t>
  </si>
  <si>
    <t>ผู้ช่วยเจ้าพนักงานประชาสัมพันธ์</t>
  </si>
  <si>
    <t>เจ้าพนักงานธุรการ (ปง./ชง)</t>
  </si>
  <si>
    <t>นักวิชาการศึกษา  (ปก./ชก.)</t>
  </si>
  <si>
    <t>(9,000)</t>
  </si>
  <si>
    <t>(27,480)</t>
  </si>
  <si>
    <t>(12,530)</t>
  </si>
  <si>
    <t>ผู้ดูแลเด็ก (ทักษะ)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</si>
  <si>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</si>
  <si>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นักวิชาการเงินและบัญชี  (ปก./ชก.)</t>
  </si>
  <si>
    <t>เจ้าพนักงานการเงินและบัญชี  (ปง./ชง.)</t>
  </si>
  <si>
    <t>เจ้าพนักงานจัดเก็บรายได้ (ปง./ชง)</t>
  </si>
  <si>
    <t xml:space="preserve">เจ้าพนักงานจัดเก็บรายได้ </t>
  </si>
  <si>
    <t>เจ้าพนักงานประปา  (ปง./ชง.)</t>
  </si>
  <si>
    <t>นายช่างไฟฟ้า (ปง./ชง.)</t>
  </si>
  <si>
    <t>นายราชิต  ราโชกาญจน์</t>
  </si>
  <si>
    <t>(การปกครอง)</t>
  </si>
  <si>
    <t>นายวุฒิพงษ์  รำเพย</t>
  </si>
  <si>
    <t xml:space="preserve">ปง. </t>
  </si>
  <si>
    <t>นางสาวอรวรรณ  กล้าปราบโจร</t>
  </si>
  <si>
    <t>นายมนตรี  ศรีสวัสดิ์</t>
  </si>
  <si>
    <t>นายยุทธนา  จีนต่างเมือง</t>
  </si>
  <si>
    <t>นายจิรพล  เดชารัตน์</t>
  </si>
  <si>
    <t>ปวส.</t>
  </si>
  <si>
    <t>นายทวีศักดิ์  เอี่ยมอักษร</t>
  </si>
  <si>
    <t>นางลักขณา  โกมารทัต</t>
  </si>
  <si>
    <t>นางสาวสุปรียา  นกแก้ว</t>
  </si>
  <si>
    <t>ผู้ดูแลเด็ก (ทั่วไป)</t>
  </si>
  <si>
    <t>+1</t>
  </si>
  <si>
    <t>(7,000*12)</t>
  </si>
  <si>
    <t>(3,500*12)</t>
  </si>
  <si>
    <t>นางสาวศญามล  รัตนคม</t>
  </si>
  <si>
    <t xml:space="preserve"> (3,500*12)</t>
  </si>
  <si>
    <t>(ว่างเดิม)</t>
  </si>
  <si>
    <t>((8,750+40,900)/2)*12</t>
  </si>
  <si>
    <t>พนักงานจ้างตามภารกิจ (ทักษะ)</t>
  </si>
  <si>
    <t>พนักงานจ้างตามภารกิจ (คุณวุฒิ)</t>
  </si>
  <si>
    <t>นางโสพิกุล   ชัยอ่อน</t>
  </si>
  <si>
    <t>(9,000*12)</t>
  </si>
  <si>
    <t>(ถ่ายโอน)</t>
  </si>
  <si>
    <t>นางณภัตสร   รัตนเมือง</t>
  </si>
  <si>
    <t>(17,570*12)</t>
  </si>
  <si>
    <t>(12,970*12)</t>
  </si>
  <si>
    <t>(12,530*12)</t>
  </si>
  <si>
    <t>ป.6</t>
  </si>
  <si>
    <t>(32,450*12)</t>
  </si>
  <si>
    <t>(17,880*12)</t>
  </si>
  <si>
    <t>นายธีระพงศ์  ศรีสงคราม</t>
  </si>
  <si>
    <t>เงินค่าตอบแทน/</t>
  </si>
  <si>
    <t>เงินเพิ่มอื่นๆ</t>
  </si>
  <si>
    <t>ครู (ค.ศ.2)</t>
  </si>
  <si>
    <t>21-3-08-6600-269</t>
  </si>
  <si>
    <t>21-3-08-3803-001</t>
  </si>
  <si>
    <t>21-3-08-6600-270</t>
  </si>
  <si>
    <t>21-3-08-6600-271</t>
  </si>
  <si>
    <t>21-3-08-6600-272</t>
  </si>
  <si>
    <t>21-3-08-6600-273</t>
  </si>
  <si>
    <t>21-3-08-6600-274</t>
  </si>
  <si>
    <t>21-3-08-6600-275</t>
  </si>
  <si>
    <t>เงินอุดหนุน</t>
  </si>
  <si>
    <t>นางสาวพุฒชณาศี  ศรีสิริ</t>
  </si>
  <si>
    <t>นางสาวเกษร   สโมสร</t>
  </si>
  <si>
    <t>เงินประจำ</t>
  </si>
  <si>
    <t>ตำแหน่ง (2)</t>
  </si>
  <si>
    <t>(1)</t>
  </si>
  <si>
    <t>2564</t>
  </si>
  <si>
    <t>2565</t>
  </si>
  <si>
    <t>2566</t>
  </si>
  <si>
    <t>ค่าใช้จ่ายรวม (4)</t>
  </si>
  <si>
    <t>(8)</t>
  </si>
  <si>
    <t>ค่าใช้จ่ายที่เพิ่มขึ้น (3)</t>
  </si>
  <si>
    <t>(17,570)</t>
  </si>
  <si>
    <t>(12,970)</t>
  </si>
  <si>
    <t>(17,880)</t>
  </si>
  <si>
    <t>กิ</t>
  </si>
  <si>
    <t>เริง</t>
  </si>
  <si>
    <t>แป้ว</t>
  </si>
  <si>
    <t>มด</t>
  </si>
  <si>
    <t>บอย</t>
  </si>
  <si>
    <t>เอก</t>
  </si>
  <si>
    <t>แดง</t>
  </si>
  <si>
    <t>แอน</t>
  </si>
  <si>
    <t>แป้ง</t>
  </si>
  <si>
    <t>เหมี่ยว</t>
  </si>
  <si>
    <t>หนิง</t>
  </si>
  <si>
    <t>เอ</t>
  </si>
  <si>
    <t>หมี</t>
  </si>
  <si>
    <t>ปอน</t>
  </si>
  <si>
    <t>ออด</t>
  </si>
  <si>
    <t>ไก่</t>
  </si>
  <si>
    <t>แมว</t>
  </si>
  <si>
    <t>รม</t>
  </si>
  <si>
    <t>พิศ</t>
  </si>
  <si>
    <t>งด.ปัจุบัน</t>
  </si>
  <si>
    <t>เงินเพิ่ม 64</t>
  </si>
  <si>
    <t>ใส่ข้อ9/64</t>
  </si>
  <si>
    <t>งด.65</t>
  </si>
  <si>
    <t>เงินเพิ่ม 65</t>
  </si>
  <si>
    <t>ใส่ข้อ9/65</t>
  </si>
  <si>
    <t>งด.64</t>
  </si>
  <si>
    <t>เงินเพิ่ม 66</t>
  </si>
  <si>
    <t>ใส่ข้อ9/66</t>
  </si>
  <si>
    <t>2654</t>
  </si>
  <si>
    <t>:</t>
  </si>
  <si>
    <t>ข้อมูลในช่องเงินเดือน (1) ต้องมีจำนวนตรงกันกับข้อมูลในช่องเดือนของบัญชีแสดงจัดคนลงสู่ตำแหน่งและการกำหนดเลขที่ตำแหน่งในส่วนราชการ</t>
  </si>
  <si>
    <t>ฐานการคำนวณงบประมาณรายจ่ายประจำปี พ.ศ. 2564 ให้ใช้ข้อบัญญัติ/เทศบัญญัติงบประมาณรายจ่ายประจำปี พ.ศ. 2563 และฉบับเพิ่มเติม (ถ้ามี) ที่ประกาศใช้มาประมาณการเพิ่มขึ้นไม่เกินร้อยละ 5 เพื่อเป็นฐานการคำนวณ สำหรับงบประมาณรายจ่ายประจำปี พ.ศ. 2565 และ พ.ศ. 2566</t>
  </si>
  <si>
    <t xml:space="preserve"> ให้ประมาณการบวกเพิ่มขึ้นอีกไม่เกินร้อยละ 5 เพื่อเป็นฐานการคำนวณภาระค่าใช้จ่ายด้านการบริหารงานบุคคลตามมาตรา 35 แห่งพระราชบัญญัติระเบียบบริหารงานบุคคลส่วนท้องถิ่น พ.ศ. 2542 สำหรับองค์กรปกครองส่วนท้องถิ่นใดที่มีงบประมาณรายจ่ายเฉพาะการเกี่ยวกับการประปา</t>
  </si>
  <si>
    <t>หรือกิจการสถานนุบาล และได้ตั้งงบประมาณมาไว้ในข้อบัญญัติ/เทศบัญญัติ ให้นำมารวมเป็นฐานการคำนวณภาระค่าใช้จ่ายด้านการบริหารงานบุคคลด้วย ดังนี้</t>
  </si>
  <si>
    <t>ข้าราชการถ่ายโอน ลูกจ้างประจำถ่ายโอน รวมถึงข้าราชการครู บุคลากรทางการศึกษา  ลูกจ้างประจำ และพนักงานจ้าง ที่ได้รับงบเงินอุดหนุนที่จ่ายเป็นเงินเดือน ค่าจ้าง ให้ระบุข้อมูลกรอบตำแหน่งและจำนวนผู้ดำรงตำแหน่งไว้ในแผนอัตรากำลัง แต่ไม่ต้องนำมาคิดรวมเป็นภาระค่าใช้จ่ายเกี่ยวกับเงินเดือน</t>
  </si>
  <si>
    <t>และประโยชน์ตอบแทนอื่น ตามมาตรา 35 แห่งพระราชบัญญัติระเบียบบริหารงานบุคคลส่วนท้องถิ่น พ.ศ. 2542 (ตำแหน่งที่มีแถบสีคลุมในตัวอย่าง)</t>
  </si>
  <si>
    <t>ข้าราชการครู พนักงานครู หรือบุคลากรทางการศึกษาที่องค์กรปกครองส่วนท้องถิ่นกำหนดตำแหน่งเพิ่ม โดยใช้งบประมาณขององค์กรปกครองส่วนท้องถิ่นจ่ายเป็นเงินเดือน ค่าตอบแทน ตามหนังสือกรมส่งเสริมการปกครองท้องถิ่น ที่ มท 0809.4/ว 849 ลงวันที่ 5 มีนาคม 2562</t>
  </si>
  <si>
    <t xml:space="preserve"> เรื่อง การกำหนดเลขที่ตำแหน่งของข้าราชการครู/พนักงานครู ในสถานศึกษาและศูนย์พัฒนาเด็กเล็กขององค์กรปกครองส่วนท้องถิ่น ให้นำมาคำนวณเป็นภาระค่าใช้จ่ายด้านการบริหารงานบุคคลตามมาตรา 35 แห่งพระราชบัญญัติระเบียบบริหารงานบุคคลส่วนท้องถิ่น พ.ศ. 2542 ด้วย</t>
  </si>
  <si>
    <t>ให้บันทึกข้อมูลเรียงตามลำดับรหัสส่วนราชการ (สำนักหรือกอง) ในองค์กรปกครองส่วนท้องถิ่น ตามหนังสือสำนักงาน ก.จ., ก.ท. และ  ก.อบต. ด่วนที่สุด ที่ มท 0809.5/ว 52 ลงวันที่ 13 พฤศจิกายน 2558 เรื่อง การจัดตำแหน่งข้าราชการหรือพนักงานส่วนท้องถิ่นเข้าสู่ประเภทตำแหน่ง (ระบบแห่ง)</t>
  </si>
  <si>
    <t xml:space="preserve">  :</t>
  </si>
  <si>
    <t>ข้อมูลในช่องเงินประจำตำแหน่ง (2) ต้องมีจำนวนตรงกันกับข้อมูลในช่องเงินประจำตำแหน่งของบัญชีแสดงจัดคนลงสู่ตำแหน่งและการกำหนดเลขที่ตำแหน่งในส่วนราชการ</t>
  </si>
  <si>
    <t xml:space="preserve"> - ฐานการคำนวณงบประมาณรายจ่ายประจำปี พ.ศ. 2564 ให้ประมาณการเพิ่มขึ้นร้อยละ 5 ของงบประมาณรายจ่ายประจำปี 2563 (59,000,000 บาท) งบประมาณรายจ่ายประจำปี 2564 จำนวน 61,950,000 บาท  = (59,000,000 *5%) + 59,000,000 = 61,950,000)</t>
  </si>
  <si>
    <t xml:space="preserve"> - ฐานการคำนวณงบประมาณรายจ่ายประจำปี พ.ศ. 2565 ให้ประมาณการเพิ่มขึ้นร้อยละ 5 ของงบประมาณรายจ่ายประจำปี 2564 งบประมาณรายจ่ายประจำปี 2565 จำนวน 65,047,500 บาท  = (61,950,000 *5%) + 61,950,000 = 65,047,500)</t>
  </si>
  <si>
    <t xml:space="preserve"> - ฐานการคำนวณงบประมาณรายจ่ายประจำปี พ.ศ. 2566 ให้ประมาณการเพิ่มขึ้นร้อยละ 5 ของงบประมาณรายจ่ายประจำปี 2565 งบประมาณรายจ่ายประจำปี 2566 จำนวน 68,299,875 บาท  = (65,047,500 *5%) + 65,047,500 = 68,299,875)</t>
  </si>
  <si>
    <t>ประมาณการประโยชน์ตอบแทนอื่น 15%</t>
  </si>
  <si>
    <t>คนงาน</t>
  </si>
  <si>
    <t>ร.ม.</t>
  </si>
  <si>
    <t>(รัฐศาสตร์)</t>
  </si>
  <si>
    <t xml:space="preserve">ศศ.บ. </t>
  </si>
  <si>
    <t>(การจัดการทั่วไป/บัญชี)</t>
  </si>
  <si>
    <t>รป.ม.</t>
  </si>
  <si>
    <t>(รัฐประศาสนศาสตร์)</t>
  </si>
  <si>
    <t>วท.บ.</t>
  </si>
  <si>
    <t xml:space="preserve"> (เคมี) </t>
  </si>
  <si>
    <t>น.บ.</t>
  </si>
  <si>
    <t>(นิติศาสตร์)</t>
  </si>
  <si>
    <t>(เทคโนโลยีการเกษตรและการพัฒนาชุมชน)</t>
  </si>
  <si>
    <t xml:space="preserve">วท.บ. </t>
  </si>
  <si>
    <t>(สาธารณสุขศาสตร์)</t>
  </si>
  <si>
    <t>(ช่างอิเลคทรอนิคส์)</t>
  </si>
  <si>
    <t>(การตลาด)</t>
  </si>
  <si>
    <t>บธ.บ.</t>
  </si>
  <si>
    <t xml:space="preserve">(การบัญชี) </t>
  </si>
  <si>
    <t>(ออกแบบผลิตภัณฑ์)</t>
  </si>
  <si>
    <t>(การก่อสร้าง)</t>
  </si>
  <si>
    <t>(การขาย)</t>
  </si>
  <si>
    <t>(คอมพิเตอร์ธุรกิจ)</t>
  </si>
  <si>
    <t>(การบัญชี)</t>
  </si>
  <si>
    <t>(ก่อสร้าง)</t>
  </si>
  <si>
    <t xml:space="preserve"> (ช่างโยธา)</t>
  </si>
  <si>
    <t>(ช่างอิเล็กทรอนิคส์)</t>
  </si>
  <si>
    <t>อนุปริญญาวิทยาศาสตร์</t>
  </si>
  <si>
    <t>(ช่างก่อสร้าง)</t>
  </si>
  <si>
    <t>(ไฟฟ้า)</t>
  </si>
  <si>
    <t>(ไฟฟ้ากำลัง)</t>
  </si>
  <si>
    <t>ค.ม.</t>
  </si>
  <si>
    <t>(การบริหารการศึกษา)</t>
  </si>
  <si>
    <t xml:space="preserve">ค.บ. </t>
  </si>
  <si>
    <t>(การประถมศึกษา)</t>
  </si>
  <si>
    <t>(การศึกษาปฐมวัย)</t>
  </si>
  <si>
    <t>(ปฐมวัยศึกษา)</t>
  </si>
  <si>
    <t>(วิทยาศาสต์)</t>
  </si>
  <si>
    <t>ศูนย์พัฒนาเด็กเล็กบ้านทุ่งควาย</t>
  </si>
  <si>
    <t>ศูนย์พัฒนาเด็กเล็กบ้านเขาโร</t>
  </si>
  <si>
    <t>กองศึกษาศาสนา และวัฒนธรรม (08)</t>
  </si>
  <si>
    <t>ศูนย์พัฒนาเด็กเล็กบ้านวังเต่า</t>
  </si>
  <si>
    <t>ศูนย์พัฒนาเด็กเล็กบ้านกงหรา</t>
  </si>
  <si>
    <t>ผู้อำนวยการกองการศึกษา</t>
  </si>
  <si>
    <t>(นักบริหารงานการศึกษา)</t>
  </si>
  <si>
    <t>กรอบอัตรากำลัง 3 ปี ประจำปีงบประมาณ พ.ศ. 2564-2566</t>
  </si>
  <si>
    <t>นักบริหารงานท้องถิ่น ระดับกลาง</t>
  </si>
  <si>
    <t>(ปลัดองค์การบริหารส่วนตำบล)</t>
  </si>
  <si>
    <t>(รองปลัดองค์การบริหารส่วนตำบล)</t>
  </si>
  <si>
    <t>นักบริหารงานท้องถิ่น ระดับต้น</t>
  </si>
  <si>
    <t>(ผู้อำนวยการกองคลัง)</t>
  </si>
  <si>
    <t>นักบริหารงานการคลัง ระดับต้น</t>
  </si>
  <si>
    <t>ว่างให้ยุบ</t>
  </si>
  <si>
    <t>(ผู้อำนวยการกองช่าง)</t>
  </si>
  <si>
    <t>นักบริหารงานช่าง ระดับต้น</t>
  </si>
  <si>
    <t>(ผู้อำนวยการกองการศึกษาฯ)</t>
  </si>
  <si>
    <t>นักบริหารงานการศึกษา ระดับต้น</t>
  </si>
  <si>
    <t>ผู้อำนวยการกองคลัง (นักบริหารงานการคลัง)</t>
  </si>
  <si>
    <t>ผู้อำนวยการกองการศึกษา (นักบริหารงานการศึกษา)</t>
  </si>
  <si>
    <t>(อบต.สมทบ)</t>
  </si>
  <si>
    <t>ผู้ดูแลเด็ก (ทั่วไป) (9,000)</t>
  </si>
  <si>
    <t>เจ้าพนักงานสาธารณสุข</t>
  </si>
  <si>
    <t>เจ้าพนักงานสาธารณสุข (ปง./ชง.)</t>
  </si>
  <si>
    <t>นักวิชาการพัสดุ  (ปก./ชก.)</t>
  </si>
  <si>
    <t>เจ้าพนักงานพัสดุ (ปง./ชง.)</t>
  </si>
  <si>
    <t>นางสุพัฒนี    จันทร์อุดม</t>
  </si>
  <si>
    <t>นางนภาวดี    ท้าวฉาย</t>
  </si>
  <si>
    <t>นางภัคจิรา   แก้วสีนวล</t>
  </si>
  <si>
    <t xml:space="preserve">ครู  </t>
  </si>
  <si>
    <t xml:space="preserve">ครู </t>
  </si>
  <si>
    <t>เจ้าพนักงานประปา</t>
  </si>
  <si>
    <t>นางสาวจิรณัฏฐ   ดำสิงห์</t>
  </si>
  <si>
    <t>นักบริหารงานทั่วไป ระดับต้น</t>
  </si>
  <si>
    <t>(หัวหน้าสำนักปลัด อบต.)</t>
  </si>
  <si>
    <t>(41,250)</t>
  </si>
  <si>
    <t>(32,450)</t>
  </si>
  <si>
    <t>(35,220)</t>
  </si>
  <si>
    <t>(30,790)</t>
  </si>
  <si>
    <t>(15,420)</t>
  </si>
  <si>
    <t>(15,140)</t>
  </si>
  <si>
    <t>(11,700)</t>
  </si>
  <si>
    <t>(14,890)</t>
  </si>
  <si>
    <t>(11,190)</t>
  </si>
  <si>
    <t>(12,380)</t>
  </si>
  <si>
    <t>(13,790)</t>
  </si>
  <si>
    <t>(15,470)</t>
  </si>
  <si>
    <t>(10,030)</t>
  </si>
  <si>
    <t>(10,080)</t>
  </si>
  <si>
    <t>(37,960)</t>
  </si>
  <si>
    <t>(29,110)</t>
  </si>
  <si>
    <t>ปก./ชก.</t>
  </si>
  <si>
    <t>(22,920)</t>
  </si>
  <si>
    <t>(23,820)</t>
  </si>
  <si>
    <t>(11,290)</t>
  </si>
  <si>
    <t>(33,000)</t>
  </si>
  <si>
    <t>(18,190)</t>
  </si>
  <si>
    <t>(13,230)</t>
  </si>
  <si>
    <t>(25,190)</t>
  </si>
  <si>
    <t>(15,250)</t>
  </si>
  <si>
    <t>(11,680)</t>
  </si>
  <si>
    <t>(12,800)</t>
  </si>
  <si>
    <t>(11,350)</t>
  </si>
  <si>
    <t>(25,270)</t>
  </si>
  <si>
    <t>(20,370)</t>
  </si>
  <si>
    <t>งบท้องถิ่นจ่าย</t>
  </si>
  <si>
    <t>(41,250*12)</t>
  </si>
  <si>
    <t>(35,220*12)</t>
  </si>
  <si>
    <t>(15,420*12)</t>
  </si>
  <si>
    <t>(27,480*12)</t>
  </si>
  <si>
    <t>(30,790*12)</t>
  </si>
  <si>
    <t>(15,140*12)</t>
  </si>
  <si>
    <t>(11,700*12)</t>
  </si>
  <si>
    <t>(14,890*12)</t>
  </si>
  <si>
    <t>(11,190*12)</t>
  </si>
  <si>
    <t>(12,380*12)</t>
  </si>
  <si>
    <t>(13,790*12)</t>
  </si>
  <si>
    <t>(15,470*12)</t>
  </si>
  <si>
    <t>(10,080*12)</t>
  </si>
  <si>
    <t>(10,030*12)</t>
  </si>
  <si>
    <t>(37,960*12)</t>
  </si>
  <si>
    <t>(29,110*12)</t>
  </si>
  <si>
    <t xml:space="preserve">  -ว่าง-</t>
  </si>
  <si>
    <t>((49480+9740)/2)*12</t>
  </si>
  <si>
    <t>(23,820*12)</t>
  </si>
  <si>
    <t>(22,920*12)</t>
  </si>
  <si>
    <t>(11,290*12)</t>
  </si>
  <si>
    <t>(33,000*12)</t>
  </si>
  <si>
    <t>(18,190*12)</t>
  </si>
  <si>
    <t>(13,230*12)</t>
  </si>
  <si>
    <t>(25,190*12)</t>
  </si>
  <si>
    <t>(15,250*12)</t>
  </si>
  <si>
    <t>(11,680*12)</t>
  </si>
  <si>
    <t>(12,800*12)</t>
  </si>
  <si>
    <t>(11,350*12)</t>
  </si>
  <si>
    <t>(25,270*12)</t>
  </si>
  <si>
    <t>(20,370*12)</t>
  </si>
  <si>
    <t>(3870*12)</t>
  </si>
  <si>
    <t>นางสาวไอรดา  สังข์ทอง</t>
  </si>
  <si>
    <t>ศป.บ.</t>
  </si>
  <si>
    <t>(ศิลปะการแสดง)</t>
  </si>
  <si>
    <t>(8,540*12)</t>
  </si>
  <si>
    <t>นางสาววัลภา  เดชรักษา</t>
  </si>
  <si>
    <t>ศษ.ม.</t>
  </si>
  <si>
    <t>(การพัฒนาหลักสูตรและการสอน)</t>
  </si>
  <si>
    <t>นางสาวพัณณิตา  อักษรนำ</t>
  </si>
  <si>
    <t>(ชีววิทยา)</t>
  </si>
  <si>
    <t>นางสาวญาณิศา   ชูวงศ์</t>
  </si>
  <si>
    <t>ร.บ.</t>
  </si>
  <si>
    <t>(การเมืองการปกครอง)</t>
  </si>
  <si>
    <t>(5,280*12)</t>
  </si>
  <si>
    <t>ผู้ดูแลเด็ก (ทักษะ)  (14,680)</t>
  </si>
  <si>
    <t>ผู้ช่วยหัวหน้าศูนย์พัฒนาเด็กเล็ก (23,540)</t>
  </si>
  <si>
    <t>ผู้ดูแลเด็ก (ทักษะ)  (13,270)</t>
  </si>
  <si>
    <t>หน่วยตรวจสอบภายใน (12)</t>
  </si>
  <si>
    <t>นักวิชาการตรวจสอบภายใน</t>
  </si>
  <si>
    <t>21-3-12-3205-001</t>
  </si>
  <si>
    <t>กำหนดเพิ่มใหม่</t>
  </si>
  <si>
    <t>นายปราโมทย์  รัตบุรี</t>
  </si>
  <si>
    <t>รป.บ.</t>
  </si>
  <si>
    <t>(การบริหารท้องถิ่น)</t>
  </si>
  <si>
    <t>นายคำพวน  คีรีเดช</t>
  </si>
  <si>
    <t>สำนักปลัด อบต. (01)</t>
  </si>
  <si>
    <t>นักวิชาการตรวจสอบภายใน (ปก./ชก)</t>
  </si>
  <si>
    <t>นักวิชาการเงินและบัญชี (ปก./ชก.)</t>
  </si>
  <si>
    <t>"เพิ่มตามมติ ก.อบต.</t>
  </si>
  <si>
    <t>ครั้งที่ 4/64"</t>
  </si>
  <si>
    <t xml:space="preserve">บัญชีแสดงจัดคนลงสู่ตำแหน่งและการกำหนดเลขที่ตำแหน่งในราชการ </t>
  </si>
  <si>
    <t>แนบท้ายคำสั่งองค์การบริหารส่วนตำบลเขาโร  ที่ 180/2564  ลงวันที่ 1 มิถุนายน 2564</t>
  </si>
  <si>
    <t>21-3-08-3201-001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</si>
</sst>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_-;\-* #,##0_-;_-* &quot;-&quot;_-;_-@_-"/>
    <numFmt numFmtId="188" formatCode="_-* #,##0.00_-;\-* #,##0.00_-;_-* &quot;-&quot;??_-;_-@_-"/>
    <numFmt numFmtId="189" formatCode="_-* #,##0_-;\-* #,##0_-;_-* &quot;-&quot;??_-;_-@_-"/>
    <numFmt numFmtId="190" formatCode="0.0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IT๙"/>
      <family val="2"/>
    </font>
    <font>
      <sz val="13"/>
      <name val="TH SarabunIT๙"/>
      <family val="2"/>
    </font>
    <font>
      <sz val="12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u/>
      <sz val="14"/>
      <name val="TH SarabunIT๙"/>
      <family val="2"/>
    </font>
    <font>
      <b/>
      <sz val="14"/>
      <name val="TH SarabunIT๙"/>
      <family val="2"/>
    </font>
    <font>
      <sz val="10"/>
      <name val="TH SarabunIT๙"/>
      <family val="2"/>
    </font>
    <font>
      <sz val="11"/>
      <color theme="1"/>
      <name val="TH SarabunIT๙"/>
      <family val="2"/>
    </font>
    <font>
      <sz val="11.5"/>
      <color theme="1"/>
      <name val="TH SarabunIT๙"/>
      <family val="2"/>
    </font>
    <font>
      <sz val="11.5"/>
      <color rgb="FFFF0000"/>
      <name val="TH SarabunIT๙"/>
      <family val="2"/>
    </font>
    <font>
      <b/>
      <u/>
      <sz val="11.5"/>
      <color theme="1"/>
      <name val="TH SarabunIT๙"/>
      <family val="2"/>
    </font>
    <font>
      <sz val="11.5"/>
      <name val="TH SarabunIT๙"/>
      <family val="2"/>
    </font>
    <font>
      <sz val="10"/>
      <color theme="1"/>
      <name val="TH SarabunIT๙"/>
      <family val="2"/>
    </font>
    <font>
      <b/>
      <u/>
      <sz val="10"/>
      <name val="TH SarabunIT๙"/>
      <family val="2"/>
    </font>
    <font>
      <b/>
      <sz val="10"/>
      <name val="TH SarabunIT๙"/>
      <family val="2"/>
    </font>
    <font>
      <sz val="11"/>
      <color indexed="8"/>
      <name val="Tahoma"/>
      <family val="2"/>
      <charset val="222"/>
    </font>
    <font>
      <b/>
      <u/>
      <sz val="14"/>
      <color theme="1"/>
      <name val="TH SarabunIT๙"/>
      <family val="2"/>
    </font>
    <font>
      <sz val="11"/>
      <color rgb="FFFF0000"/>
      <name val="Tahoma"/>
      <family val="2"/>
      <charset val="222"/>
      <scheme val="minor"/>
    </font>
    <font>
      <sz val="12"/>
      <name val="Arial"/>
      <family val="2"/>
    </font>
    <font>
      <sz val="10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u/>
      <sz val="11.5"/>
      <name val="TH SarabunIT๙"/>
      <family val="2"/>
    </font>
    <font>
      <sz val="11"/>
      <name val="TH SarabunIT๙"/>
      <family val="2"/>
    </font>
    <font>
      <sz val="8"/>
      <name val="TH SarabunIT๙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188" fontId="1" fillId="0" borderId="0" applyFont="0" applyFill="0" applyBorder="0" applyAlignment="0" applyProtection="0"/>
    <xf numFmtId="0" fontId="2" fillId="0" borderId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9" fillId="0" borderId="0"/>
  </cellStyleXfs>
  <cellXfs count="528">
    <xf numFmtId="0" fontId="0" fillId="0" borderId="0" xfId="0"/>
    <xf numFmtId="0" fontId="4" fillId="0" borderId="1" xfId="2" applyNumberFormat="1" applyFont="1" applyBorder="1" applyAlignment="1">
      <alignment horizontal="center"/>
    </xf>
    <xf numFmtId="0" fontId="7" fillId="0" borderId="0" xfId="0" applyFont="1"/>
    <xf numFmtId="0" fontId="4" fillId="0" borderId="5" xfId="2" applyNumberFormat="1" applyFont="1" applyBorder="1" applyAlignment="1">
      <alignment horizontal="center"/>
    </xf>
    <xf numFmtId="0" fontId="4" fillId="0" borderId="9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3" fillId="0" borderId="1" xfId="2" applyNumberFormat="1" applyFont="1" applyBorder="1" applyAlignment="1">
      <alignment horizontal="center"/>
    </xf>
    <xf numFmtId="0" fontId="3" fillId="0" borderId="1" xfId="2" quotePrefix="1" applyFont="1" applyBorder="1" applyAlignment="1">
      <alignment horizontal="center"/>
    </xf>
    <xf numFmtId="188" fontId="3" fillId="0" borderId="1" xfId="2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5" xfId="2" applyFont="1" applyBorder="1"/>
    <xf numFmtId="0" fontId="3" fillId="0" borderId="5" xfId="2" applyNumberFormat="1" applyFont="1" applyBorder="1" applyAlignment="1">
      <alignment horizontal="center"/>
    </xf>
    <xf numFmtId="0" fontId="3" fillId="0" borderId="5" xfId="2" quotePrefix="1" applyFont="1" applyBorder="1" applyAlignment="1">
      <alignment horizontal="center"/>
    </xf>
    <xf numFmtId="188" fontId="3" fillId="0" borderId="10" xfId="2" quotePrefix="1" applyNumberFormat="1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1" xfId="2" applyFont="1" applyBorder="1"/>
    <xf numFmtId="0" fontId="3" fillId="0" borderId="11" xfId="2" applyNumberFormat="1" applyFont="1" applyBorder="1" applyAlignment="1">
      <alignment horizontal="center"/>
    </xf>
    <xf numFmtId="0" fontId="3" fillId="0" borderId="11" xfId="2" quotePrefix="1" applyFont="1" applyBorder="1" applyAlignment="1">
      <alignment horizontal="center"/>
    </xf>
    <xf numFmtId="188" fontId="3" fillId="0" borderId="5" xfId="2" quotePrefix="1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9" xfId="2" applyFont="1" applyBorder="1"/>
    <xf numFmtId="0" fontId="3" fillId="0" borderId="9" xfId="2" applyNumberFormat="1" applyFont="1" applyBorder="1" applyAlignment="1">
      <alignment horizontal="center"/>
    </xf>
    <xf numFmtId="0" fontId="3" fillId="0" borderId="9" xfId="2" quotePrefix="1" applyFont="1" applyBorder="1" applyAlignment="1">
      <alignment horizontal="center"/>
    </xf>
    <xf numFmtId="188" fontId="3" fillId="0" borderId="9" xfId="2" quotePrefix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3" fillId="0" borderId="5" xfId="2" quotePrefix="1" applyNumberFormat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0" xfId="2" applyFont="1" applyBorder="1"/>
    <xf numFmtId="0" fontId="3" fillId="0" borderId="10" xfId="2" quotePrefix="1" applyNumberFormat="1" applyFont="1" applyBorder="1" applyAlignment="1">
      <alignment horizontal="center"/>
    </xf>
    <xf numFmtId="0" fontId="3" fillId="0" borderId="10" xfId="2" quotePrefix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12" xfId="2" applyFont="1" applyBorder="1"/>
    <xf numFmtId="0" fontId="3" fillId="0" borderId="12" xfId="2" applyNumberFormat="1" applyFont="1" applyBorder="1" applyAlignment="1">
      <alignment horizontal="center"/>
    </xf>
    <xf numFmtId="0" fontId="3" fillId="0" borderId="12" xfId="2" quotePrefix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12" xfId="2" quotePrefix="1" applyNumberFormat="1" applyFont="1" applyBorder="1" applyAlignment="1">
      <alignment horizontal="center"/>
    </xf>
    <xf numFmtId="0" fontId="3" fillId="0" borderId="12" xfId="2" applyFont="1" applyBorder="1" applyAlignment="1">
      <alignment shrinkToFit="1"/>
    </xf>
    <xf numFmtId="188" fontId="3" fillId="0" borderId="12" xfId="2" quotePrefix="1" applyNumberFormat="1" applyFont="1" applyBorder="1" applyAlignment="1">
      <alignment horizontal="center"/>
    </xf>
    <xf numFmtId="0" fontId="3" fillId="0" borderId="10" xfId="3" applyNumberFormat="1" applyFont="1" applyBorder="1" applyAlignment="1">
      <alignment horizontal="center"/>
    </xf>
    <xf numFmtId="0" fontId="3" fillId="0" borderId="10" xfId="3" quotePrefix="1" applyNumberFormat="1" applyFont="1" applyBorder="1" applyAlignment="1">
      <alignment horizontal="center"/>
    </xf>
    <xf numFmtId="189" fontId="3" fillId="0" borderId="10" xfId="3" quotePrefix="1" applyNumberFormat="1" applyFont="1" applyBorder="1" applyAlignment="1">
      <alignment horizontal="right"/>
    </xf>
    <xf numFmtId="0" fontId="3" fillId="0" borderId="12" xfId="3" applyNumberFormat="1" applyFont="1" applyBorder="1" applyAlignment="1">
      <alignment horizontal="center"/>
    </xf>
    <xf numFmtId="0" fontId="3" fillId="0" borderId="12" xfId="3" quotePrefix="1" applyNumberFormat="1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3" xfId="2" applyFont="1" applyBorder="1"/>
    <xf numFmtId="0" fontId="6" fillId="0" borderId="13" xfId="0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0" fontId="6" fillId="0" borderId="0" xfId="0" applyFont="1" applyBorder="1" applyAlignment="1">
      <alignment horizontal="center"/>
    </xf>
    <xf numFmtId="0" fontId="3" fillId="0" borderId="14" xfId="2" quotePrefix="1" applyFont="1" applyBorder="1" applyAlignment="1">
      <alignment horizontal="center"/>
    </xf>
    <xf numFmtId="189" fontId="3" fillId="0" borderId="10" xfId="3" quotePrefix="1" applyNumberFormat="1" applyFont="1" applyBorder="1" applyAlignment="1">
      <alignment horizontal="center"/>
    </xf>
    <xf numFmtId="189" fontId="3" fillId="0" borderId="12" xfId="3" quotePrefix="1" applyNumberFormat="1" applyFont="1" applyBorder="1" applyAlignment="1">
      <alignment horizontal="center"/>
    </xf>
    <xf numFmtId="0" fontId="3" fillId="0" borderId="5" xfId="3" applyNumberFormat="1" applyFont="1" applyBorder="1"/>
    <xf numFmtId="189" fontId="3" fillId="0" borderId="5" xfId="3" applyNumberFormat="1" applyFont="1" applyBorder="1"/>
    <xf numFmtId="0" fontId="3" fillId="0" borderId="10" xfId="2" applyFont="1" applyBorder="1" applyAlignment="1"/>
    <xf numFmtId="189" fontId="3" fillId="0" borderId="5" xfId="3" quotePrefix="1" applyNumberFormat="1" applyFont="1" applyBorder="1" applyAlignment="1">
      <alignment horizontal="center"/>
    </xf>
    <xf numFmtId="0" fontId="3" fillId="0" borderId="10" xfId="2" applyNumberFormat="1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3" fillId="0" borderId="11" xfId="2" quotePrefix="1" applyNumberFormat="1" applyFont="1" applyBorder="1" applyAlignment="1">
      <alignment horizontal="center"/>
    </xf>
    <xf numFmtId="187" fontId="3" fillId="0" borderId="11" xfId="2" quotePrefix="1" applyNumberFormat="1" applyFont="1" applyBorder="1" applyAlignment="1">
      <alignment horizontal="center"/>
    </xf>
    <xf numFmtId="188" fontId="3" fillId="0" borderId="13" xfId="2" quotePrefix="1" applyNumberFormat="1" applyFont="1" applyBorder="1" applyAlignment="1">
      <alignment horizontal="center"/>
    </xf>
    <xf numFmtId="0" fontId="3" fillId="0" borderId="0" xfId="2" quotePrefix="1" applyNumberFormat="1" applyFont="1" applyBorder="1" applyAlignment="1">
      <alignment horizontal="center"/>
    </xf>
    <xf numFmtId="0" fontId="3" fillId="0" borderId="0" xfId="2" quotePrefix="1" applyFont="1" applyBorder="1" applyAlignment="1">
      <alignment horizontal="center"/>
    </xf>
    <xf numFmtId="187" fontId="3" fillId="0" borderId="5" xfId="2" quotePrefix="1" applyNumberFormat="1" applyFont="1" applyBorder="1" applyAlignment="1">
      <alignment horizontal="center"/>
    </xf>
    <xf numFmtId="187" fontId="3" fillId="0" borderId="5" xfId="2" quotePrefix="1" applyNumberFormat="1" applyFont="1" applyBorder="1" applyAlignment="1"/>
    <xf numFmtId="187" fontId="3" fillId="0" borderId="11" xfId="2" quotePrefix="1" applyNumberFormat="1" applyFont="1" applyBorder="1" applyAlignment="1"/>
    <xf numFmtId="0" fontId="8" fillId="0" borderId="0" xfId="2" applyFont="1" applyBorder="1" applyAlignment="1">
      <alignment horizontal="center"/>
    </xf>
    <xf numFmtId="0" fontId="3" fillId="0" borderId="14" xfId="2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0" xfId="2" applyFont="1"/>
    <xf numFmtId="0" fontId="3" fillId="0" borderId="0" xfId="2" applyNumberFormat="1" applyFont="1"/>
    <xf numFmtId="0" fontId="6" fillId="0" borderId="0" xfId="0" applyFont="1" applyAlignment="1">
      <alignment horizontal="center"/>
    </xf>
    <xf numFmtId="0" fontId="10" fillId="0" borderId="0" xfId="2" applyFont="1"/>
    <xf numFmtId="0" fontId="10" fillId="0" borderId="0" xfId="2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 shrinkToFit="1"/>
    </xf>
    <xf numFmtId="0" fontId="12" fillId="0" borderId="1" xfId="0" applyFont="1" applyBorder="1" applyAlignment="1">
      <alignment shrinkToFit="1"/>
    </xf>
    <xf numFmtId="0" fontId="12" fillId="0" borderId="5" xfId="0" applyFont="1" applyBorder="1" applyAlignment="1">
      <alignment horizont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9" xfId="0" applyFont="1" applyBorder="1" applyAlignment="1">
      <alignment shrinkToFit="1"/>
    </xf>
    <xf numFmtId="0" fontId="12" fillId="0" borderId="9" xfId="0" applyFont="1" applyBorder="1" applyAlignment="1">
      <alignment horizontal="center" shrinkToFit="1"/>
    </xf>
    <xf numFmtId="0" fontId="12" fillId="0" borderId="9" xfId="0" applyFont="1" applyBorder="1" applyAlignment="1">
      <alignment vertical="center" shrinkToFit="1"/>
    </xf>
    <xf numFmtId="189" fontId="12" fillId="0" borderId="1" xfId="1" applyNumberFormat="1" applyFont="1" applyBorder="1" applyAlignment="1">
      <alignment shrinkToFit="1"/>
    </xf>
    <xf numFmtId="189" fontId="12" fillId="0" borderId="1" xfId="0" applyNumberFormat="1" applyFont="1" applyBorder="1" applyAlignment="1">
      <alignment shrinkToFit="1"/>
    </xf>
    <xf numFmtId="0" fontId="12" fillId="0" borderId="5" xfId="0" applyFont="1" applyBorder="1" applyAlignment="1">
      <alignment shrinkToFit="1"/>
    </xf>
    <xf numFmtId="0" fontId="12" fillId="0" borderId="10" xfId="0" applyFont="1" applyBorder="1" applyAlignment="1">
      <alignment shrinkToFit="1"/>
    </xf>
    <xf numFmtId="189" fontId="12" fillId="0" borderId="5" xfId="1" applyNumberFormat="1" applyFont="1" applyBorder="1" applyAlignment="1">
      <alignment shrinkToFit="1"/>
    </xf>
    <xf numFmtId="0" fontId="12" fillId="0" borderId="11" xfId="0" applyFont="1" applyBorder="1" applyAlignment="1">
      <alignment horizontal="center" shrinkToFit="1"/>
    </xf>
    <xf numFmtId="0" fontId="12" fillId="0" borderId="11" xfId="0" applyFont="1" applyBorder="1" applyAlignment="1">
      <alignment shrinkToFit="1"/>
    </xf>
    <xf numFmtId="189" fontId="12" fillId="0" borderId="11" xfId="1" applyNumberFormat="1" applyFont="1" applyBorder="1" applyAlignment="1">
      <alignment shrinkToFit="1"/>
    </xf>
    <xf numFmtId="189" fontId="12" fillId="0" borderId="11" xfId="0" applyNumberFormat="1" applyFont="1" applyBorder="1" applyAlignment="1">
      <alignment shrinkToFit="1"/>
    </xf>
    <xf numFmtId="0" fontId="12" fillId="0" borderId="18" xfId="0" applyFont="1" applyBorder="1" applyAlignment="1">
      <alignment horizontal="center" shrinkToFit="1"/>
    </xf>
    <xf numFmtId="0" fontId="12" fillId="0" borderId="18" xfId="0" applyFont="1" applyBorder="1" applyAlignment="1">
      <alignment shrinkToFit="1"/>
    </xf>
    <xf numFmtId="189" fontId="12" fillId="0" borderId="18" xfId="1" applyNumberFormat="1" applyFont="1" applyBorder="1" applyAlignment="1">
      <alignment shrinkToFit="1"/>
    </xf>
    <xf numFmtId="0" fontId="14" fillId="0" borderId="5" xfId="0" applyFont="1" applyBorder="1" applyAlignment="1">
      <alignment shrinkToFit="1"/>
    </xf>
    <xf numFmtId="189" fontId="12" fillId="0" borderId="5" xfId="0" applyNumberFormat="1" applyFont="1" applyBorder="1" applyAlignment="1">
      <alignment shrinkToFit="1"/>
    </xf>
    <xf numFmtId="189" fontId="10" fillId="0" borderId="12" xfId="3" applyNumberFormat="1" applyFont="1" applyBorder="1"/>
    <xf numFmtId="189" fontId="15" fillId="0" borderId="11" xfId="3" applyNumberFormat="1" applyFont="1" applyBorder="1" applyAlignment="1">
      <alignment shrinkToFit="1"/>
    </xf>
    <xf numFmtId="0" fontId="12" fillId="0" borderId="10" xfId="0" applyFont="1" applyBorder="1" applyAlignment="1">
      <alignment horizontal="center" shrinkToFit="1"/>
    </xf>
    <xf numFmtId="0" fontId="12" fillId="0" borderId="10" xfId="0" applyFont="1" applyBorder="1" applyAlignment="1">
      <alignment horizontal="left" shrinkToFit="1"/>
    </xf>
    <xf numFmtId="189" fontId="10" fillId="0" borderId="10" xfId="3" applyNumberFormat="1" applyFont="1" applyBorder="1"/>
    <xf numFmtId="189" fontId="12" fillId="0" borderId="10" xfId="1" applyNumberFormat="1" applyFont="1" applyBorder="1" applyAlignment="1">
      <alignment shrinkToFit="1"/>
    </xf>
    <xf numFmtId="189" fontId="10" fillId="0" borderId="13" xfId="3" applyNumberFormat="1" applyFont="1" applyBorder="1"/>
    <xf numFmtId="0" fontId="12" fillId="0" borderId="0" xfId="0" applyFont="1" applyBorder="1" applyAlignment="1">
      <alignment shrinkToFit="1"/>
    </xf>
    <xf numFmtId="0" fontId="14" fillId="0" borderId="5" xfId="0" applyFont="1" applyBorder="1" applyAlignment="1">
      <alignment horizontal="center" shrinkToFit="1"/>
    </xf>
    <xf numFmtId="189" fontId="10" fillId="0" borderId="11" xfId="3" applyNumberFormat="1" applyFont="1" applyBorder="1"/>
    <xf numFmtId="189" fontId="12" fillId="0" borderId="10" xfId="0" applyNumberFormat="1" applyFont="1" applyBorder="1" applyAlignment="1">
      <alignment shrinkToFit="1"/>
    </xf>
    <xf numFmtId="189" fontId="10" fillId="0" borderId="10" xfId="3" applyNumberFormat="1" applyFont="1" applyBorder="1" applyAlignment="1">
      <alignment horizontal="center"/>
    </xf>
    <xf numFmtId="187" fontId="12" fillId="0" borderId="5" xfId="0" applyNumberFormat="1" applyFont="1" applyBorder="1" applyAlignment="1">
      <alignment shrinkToFit="1"/>
    </xf>
    <xf numFmtId="187" fontId="12" fillId="0" borderId="10" xfId="0" applyNumberFormat="1" applyFont="1" applyBorder="1" applyAlignment="1">
      <alignment shrinkToFit="1"/>
    </xf>
    <xf numFmtId="0" fontId="5" fillId="0" borderId="0" xfId="2" applyFont="1"/>
    <xf numFmtId="0" fontId="10" fillId="0" borderId="19" xfId="2" applyFont="1" applyBorder="1" applyAlignment="1">
      <alignment horizontal="center"/>
    </xf>
    <xf numFmtId="0" fontId="10" fillId="0" borderId="1" xfId="2" applyFont="1" applyBorder="1" applyAlignment="1"/>
    <xf numFmtId="0" fontId="10" fillId="0" borderId="5" xfId="2" applyFont="1" applyBorder="1"/>
    <xf numFmtId="0" fontId="10" fillId="0" borderId="9" xfId="2" applyFont="1" applyBorder="1" applyAlignment="1">
      <alignment horizontal="center"/>
    </xf>
    <xf numFmtId="0" fontId="10" fillId="0" borderId="1" xfId="2" quotePrefix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49" fontId="10" fillId="0" borderId="1" xfId="2" applyNumberFormat="1" applyFont="1" applyBorder="1" applyAlignment="1">
      <alignment horizontal="center"/>
    </xf>
    <xf numFmtId="0" fontId="10" fillId="0" borderId="1" xfId="2" applyFont="1" applyBorder="1"/>
    <xf numFmtId="0" fontId="10" fillId="0" borderId="5" xfId="2" applyFont="1" applyBorder="1" applyAlignment="1">
      <alignment horizontal="center"/>
    </xf>
    <xf numFmtId="0" fontId="10" fillId="0" borderId="12" xfId="2" applyFont="1" applyBorder="1"/>
    <xf numFmtId="0" fontId="10" fillId="0" borderId="12" xfId="2" applyFont="1" applyBorder="1" applyAlignment="1">
      <alignment horizontal="center" shrinkToFit="1"/>
    </xf>
    <xf numFmtId="189" fontId="10" fillId="0" borderId="5" xfId="3" applyNumberFormat="1" applyFont="1" applyBorder="1"/>
    <xf numFmtId="0" fontId="10" fillId="0" borderId="5" xfId="2" quotePrefix="1" applyFont="1" applyBorder="1" applyAlignment="1">
      <alignment horizontal="center"/>
    </xf>
    <xf numFmtId="187" fontId="10" fillId="0" borderId="5" xfId="2" quotePrefix="1" applyNumberFormat="1" applyFont="1" applyBorder="1" applyAlignment="1">
      <alignment horizontal="center"/>
    </xf>
    <xf numFmtId="189" fontId="10" fillId="0" borderId="12" xfId="2" applyNumberFormat="1" applyFont="1" applyBorder="1"/>
    <xf numFmtId="0" fontId="10" fillId="0" borderId="12" xfId="2" applyFont="1" applyBorder="1" applyAlignment="1">
      <alignment horizontal="center"/>
    </xf>
    <xf numFmtId="0" fontId="10" fillId="0" borderId="12" xfId="2" quotePrefix="1" applyFont="1" applyBorder="1" applyAlignment="1">
      <alignment horizontal="center"/>
    </xf>
    <xf numFmtId="187" fontId="10" fillId="0" borderId="12" xfId="2" quotePrefix="1" applyNumberFormat="1" applyFont="1" applyBorder="1" applyAlignment="1">
      <alignment horizontal="center"/>
    </xf>
    <xf numFmtId="0" fontId="10" fillId="0" borderId="12" xfId="2" applyNumberFormat="1" applyFont="1" applyBorder="1" applyAlignment="1">
      <alignment horizontal="center"/>
    </xf>
    <xf numFmtId="0" fontId="10" fillId="0" borderId="12" xfId="2" quotePrefix="1" applyNumberFormat="1" applyFont="1" applyBorder="1" applyAlignment="1">
      <alignment horizontal="center"/>
    </xf>
    <xf numFmtId="14" fontId="10" fillId="0" borderId="12" xfId="2" applyNumberFormat="1" applyFont="1" applyBorder="1" applyAlignment="1">
      <alignment horizontal="center" shrinkToFit="1"/>
    </xf>
    <xf numFmtId="0" fontId="10" fillId="0" borderId="11" xfId="2" applyFont="1" applyBorder="1"/>
    <xf numFmtId="0" fontId="10" fillId="0" borderId="11" xfId="2" applyFont="1" applyBorder="1" applyAlignment="1">
      <alignment horizontal="center"/>
    </xf>
    <xf numFmtId="187" fontId="10" fillId="0" borderId="11" xfId="2" quotePrefix="1" applyNumberFormat="1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3" xfId="2" quotePrefix="1" applyFont="1" applyBorder="1" applyAlignment="1">
      <alignment horizontal="center"/>
    </xf>
    <xf numFmtId="187" fontId="10" fillId="0" borderId="13" xfId="2" quotePrefix="1" applyNumberFormat="1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10" xfId="2" quotePrefix="1" applyFont="1" applyBorder="1" applyAlignment="1">
      <alignment horizontal="center"/>
    </xf>
    <xf numFmtId="189" fontId="10" fillId="0" borderId="10" xfId="2" applyNumberFormat="1" applyFont="1" applyBorder="1"/>
    <xf numFmtId="189" fontId="10" fillId="0" borderId="12" xfId="3" applyNumberFormat="1" applyFont="1" applyBorder="1" applyAlignment="1">
      <alignment horizontal="center"/>
    </xf>
    <xf numFmtId="0" fontId="10" fillId="0" borderId="12" xfId="3" applyNumberFormat="1" applyFont="1" applyBorder="1" applyAlignment="1">
      <alignment horizontal="center"/>
    </xf>
    <xf numFmtId="189" fontId="10" fillId="0" borderId="12" xfId="3" quotePrefix="1" applyNumberFormat="1" applyFont="1" applyBorder="1" applyAlignment="1">
      <alignment horizontal="center"/>
    </xf>
    <xf numFmtId="0" fontId="10" fillId="0" borderId="12" xfId="3" quotePrefix="1" applyNumberFormat="1" applyFont="1" applyBorder="1" applyAlignment="1">
      <alignment horizontal="center"/>
    </xf>
    <xf numFmtId="189" fontId="10" fillId="0" borderId="0" xfId="2" applyNumberFormat="1" applyFont="1"/>
    <xf numFmtId="0" fontId="10" fillId="0" borderId="0" xfId="2" applyFont="1" applyBorder="1" applyAlignment="1">
      <alignment horizontal="center"/>
    </xf>
    <xf numFmtId="0" fontId="10" fillId="0" borderId="0" xfId="2" applyFont="1" applyBorder="1"/>
    <xf numFmtId="189" fontId="10" fillId="0" borderId="0" xfId="3" quotePrefix="1" applyNumberFormat="1" applyFont="1" applyBorder="1" applyAlignment="1">
      <alignment horizontal="center"/>
    </xf>
    <xf numFmtId="189" fontId="10" fillId="0" borderId="0" xfId="3" applyNumberFormat="1" applyFont="1" applyBorder="1"/>
    <xf numFmtId="187" fontId="10" fillId="0" borderId="0" xfId="2" quotePrefix="1" applyNumberFormat="1" applyFont="1" applyBorder="1" applyAlignment="1">
      <alignment horizontal="center"/>
    </xf>
    <xf numFmtId="189" fontId="10" fillId="0" borderId="0" xfId="2" applyNumberFormat="1" applyFont="1" applyBorder="1"/>
    <xf numFmtId="59" fontId="3" fillId="0" borderId="0" xfId="2" applyNumberFormat="1" applyFont="1" applyBorder="1" applyAlignment="1">
      <alignment horizontal="center" textRotation="180"/>
    </xf>
    <xf numFmtId="0" fontId="10" fillId="0" borderId="14" xfId="2" applyFont="1" applyBorder="1" applyAlignment="1">
      <alignment horizontal="center"/>
    </xf>
    <xf numFmtId="187" fontId="10" fillId="0" borderId="10" xfId="2" quotePrefix="1" applyNumberFormat="1" applyFont="1" applyBorder="1" applyAlignment="1">
      <alignment horizontal="center"/>
    </xf>
    <xf numFmtId="189" fontId="10" fillId="0" borderId="5" xfId="2" applyNumberFormat="1" applyFont="1" applyBorder="1"/>
    <xf numFmtId="187" fontId="10" fillId="0" borderId="11" xfId="2" applyNumberFormat="1" applyFont="1" applyBorder="1" applyAlignment="1">
      <alignment horizontal="center"/>
    </xf>
    <xf numFmtId="0" fontId="10" fillId="0" borderId="11" xfId="2" quotePrefix="1" applyFont="1" applyBorder="1" applyAlignment="1">
      <alignment horizontal="center"/>
    </xf>
    <xf numFmtId="189" fontId="10" fillId="0" borderId="11" xfId="2" applyNumberFormat="1" applyFont="1" applyBorder="1"/>
    <xf numFmtId="0" fontId="10" fillId="0" borderId="12" xfId="2" applyFont="1" applyBorder="1" applyAlignment="1">
      <alignment horizontal="left"/>
    </xf>
    <xf numFmtId="188" fontId="10" fillId="0" borderId="12" xfId="2" quotePrefix="1" applyNumberFormat="1" applyFont="1" applyBorder="1" applyAlignment="1">
      <alignment horizontal="center"/>
    </xf>
    <xf numFmtId="189" fontId="10" fillId="0" borderId="5" xfId="3" applyNumberFormat="1" applyFont="1" applyBorder="1" applyAlignment="1">
      <alignment horizontal="center"/>
    </xf>
    <xf numFmtId="0" fontId="10" fillId="0" borderId="14" xfId="2" quotePrefix="1" applyFont="1" applyBorder="1"/>
    <xf numFmtId="0" fontId="18" fillId="0" borderId="14" xfId="2" applyFont="1" applyBorder="1" applyAlignment="1">
      <alignment horizontal="center"/>
    </xf>
    <xf numFmtId="189" fontId="10" fillId="0" borderId="14" xfId="3" applyNumberFormat="1" applyFont="1" applyBorder="1" applyAlignment="1">
      <alignment horizontal="center"/>
    </xf>
    <xf numFmtId="0" fontId="10" fillId="0" borderId="14" xfId="2" quotePrefix="1" applyFont="1" applyBorder="1" applyAlignment="1">
      <alignment horizontal="center"/>
    </xf>
    <xf numFmtId="189" fontId="10" fillId="0" borderId="14" xfId="2" applyNumberFormat="1" applyFont="1" applyBorder="1"/>
    <xf numFmtId="0" fontId="10" fillId="0" borderId="14" xfId="2" applyFont="1" applyBorder="1"/>
    <xf numFmtId="188" fontId="10" fillId="0" borderId="14" xfId="2" applyNumberFormat="1" applyFont="1" applyBorder="1"/>
    <xf numFmtId="0" fontId="3" fillId="0" borderId="20" xfId="2" applyFont="1" applyBorder="1"/>
    <xf numFmtId="188" fontId="3" fillId="0" borderId="0" xfId="2" quotePrefix="1" applyNumberFormat="1" applyFont="1" applyBorder="1" applyAlignment="1">
      <alignment horizontal="center"/>
    </xf>
    <xf numFmtId="0" fontId="3" fillId="0" borderId="21" xfId="2" applyFont="1" applyBorder="1"/>
    <xf numFmtId="188" fontId="3" fillId="0" borderId="11" xfId="2" quotePrefix="1" applyNumberFormat="1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89" fontId="10" fillId="0" borderId="10" xfId="3" quotePrefix="1" applyNumberFormat="1" applyFont="1" applyBorder="1" applyAlignment="1">
      <alignment horizontal="center"/>
    </xf>
    <xf numFmtId="188" fontId="10" fillId="0" borderId="5" xfId="2" quotePrefix="1" applyNumberFormat="1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 shrinkToFit="1"/>
    </xf>
    <xf numFmtId="187" fontId="10" fillId="0" borderId="12" xfId="2" quotePrefix="1" applyNumberFormat="1" applyFont="1" applyBorder="1" applyAlignment="1"/>
    <xf numFmtId="0" fontId="10" fillId="0" borderId="10" xfId="2" applyFont="1" applyBorder="1"/>
    <xf numFmtId="189" fontId="10" fillId="0" borderId="11" xfId="3" applyNumberFormat="1" applyFont="1" applyBorder="1" applyAlignment="1">
      <alignment horizontal="center"/>
    </xf>
    <xf numFmtId="188" fontId="10" fillId="0" borderId="10" xfId="2" quotePrefix="1" applyNumberFormat="1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189" fontId="10" fillId="0" borderId="13" xfId="2" applyNumberFormat="1" applyFont="1" applyBorder="1"/>
    <xf numFmtId="0" fontId="10" fillId="0" borderId="10" xfId="2" applyFont="1" applyBorder="1" applyAlignment="1">
      <alignment shrinkToFit="1"/>
    </xf>
    <xf numFmtId="0" fontId="10" fillId="0" borderId="10" xfId="2" applyFont="1" applyBorder="1" applyAlignment="1">
      <alignment horizontal="center" shrinkToFit="1"/>
    </xf>
    <xf numFmtId="189" fontId="10" fillId="0" borderId="10" xfId="1" applyNumberFormat="1" applyFont="1" applyBorder="1"/>
    <xf numFmtId="0" fontId="12" fillId="0" borderId="5" xfId="0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10" fillId="0" borderId="9" xfId="2" applyFont="1" applyBorder="1" applyAlignment="1">
      <alignment vertical="center"/>
    </xf>
    <xf numFmtId="0" fontId="10" fillId="0" borderId="5" xfId="2" applyFont="1" applyBorder="1" applyAlignment="1">
      <alignment horizontal="center" vertical="center"/>
    </xf>
    <xf numFmtId="189" fontId="10" fillId="0" borderId="11" xfId="3" quotePrefix="1" applyNumberFormat="1" applyFont="1" applyBorder="1" applyAlignment="1">
      <alignment horizontal="right"/>
    </xf>
    <xf numFmtId="189" fontId="10" fillId="0" borderId="14" xfId="3" quotePrefix="1" applyNumberFormat="1" applyFont="1" applyBorder="1" applyAlignment="1">
      <alignment horizontal="right"/>
    </xf>
    <xf numFmtId="0" fontId="10" fillId="0" borderId="10" xfId="2" quotePrefix="1" applyNumberFormat="1" applyFont="1" applyBorder="1" applyAlignment="1">
      <alignment horizontal="center"/>
    </xf>
    <xf numFmtId="189" fontId="15" fillId="0" borderId="5" xfId="3" applyNumberFormat="1" applyFont="1" applyBorder="1" applyAlignment="1">
      <alignment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0" fontId="12" fillId="0" borderId="11" xfId="0" applyFont="1" applyBorder="1" applyAlignment="1">
      <alignment horizontal="center"/>
    </xf>
    <xf numFmtId="0" fontId="14" fillId="0" borderId="11" xfId="0" applyFont="1" applyBorder="1" applyAlignment="1">
      <alignment shrinkToFit="1"/>
    </xf>
    <xf numFmtId="0" fontId="12" fillId="0" borderId="11" xfId="0" applyFont="1" applyBorder="1"/>
    <xf numFmtId="189" fontId="15" fillId="0" borderId="0" xfId="3" applyNumberFormat="1" applyFont="1" applyBorder="1" applyAlignment="1">
      <alignment shrinkToFit="1"/>
    </xf>
    <xf numFmtId="189" fontId="10" fillId="0" borderId="10" xfId="3" applyNumberFormat="1" applyFont="1" applyBorder="1" applyAlignment="1"/>
    <xf numFmtId="187" fontId="12" fillId="0" borderId="11" xfId="0" applyNumberFormat="1" applyFont="1" applyBorder="1" applyAlignment="1">
      <alignment shrinkToFit="1"/>
    </xf>
    <xf numFmtId="0" fontId="4" fillId="0" borderId="0" xfId="2" applyNumberFormat="1" applyFont="1" applyBorder="1" applyAlignment="1">
      <alignment horizontal="center"/>
    </xf>
    <xf numFmtId="189" fontId="3" fillId="0" borderId="11" xfId="3" quotePrefix="1" applyNumberFormat="1" applyFont="1" applyBorder="1" applyAlignment="1">
      <alignment horizontal="right"/>
    </xf>
    <xf numFmtId="189" fontId="3" fillId="0" borderId="14" xfId="3" quotePrefix="1" applyNumberFormat="1" applyFont="1" applyBorder="1" applyAlignment="1">
      <alignment horizontal="right"/>
    </xf>
    <xf numFmtId="0" fontId="12" fillId="0" borderId="0" xfId="0" applyFont="1" applyBorder="1" applyAlignment="1">
      <alignment horizontal="center" shrinkToFit="1"/>
    </xf>
    <xf numFmtId="0" fontId="3" fillId="0" borderId="13" xfId="3" quotePrefix="1" applyNumberFormat="1" applyFont="1" applyBorder="1" applyAlignment="1">
      <alignment horizontal="center"/>
    </xf>
    <xf numFmtId="0" fontId="3" fillId="0" borderId="22" xfId="2" applyFont="1" applyBorder="1"/>
    <xf numFmtId="189" fontId="10" fillId="0" borderId="13" xfId="3" quotePrefix="1" applyNumberFormat="1" applyFont="1" applyBorder="1" applyAlignment="1">
      <alignment horizontal="center"/>
    </xf>
    <xf numFmtId="0" fontId="10" fillId="0" borderId="13" xfId="3" quotePrefix="1" applyNumberFormat="1" applyFont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0" borderId="0" xfId="2" applyFont="1" applyBorder="1" applyAlignment="1">
      <alignment horizontal="center" shrinkToFit="1"/>
    </xf>
    <xf numFmtId="0" fontId="10" fillId="0" borderId="0" xfId="2" quotePrefix="1" applyFont="1" applyBorder="1" applyAlignment="1">
      <alignment horizontal="center"/>
    </xf>
    <xf numFmtId="0" fontId="10" fillId="0" borderId="11" xfId="3" applyNumberFormat="1" applyFont="1" applyBorder="1" applyAlignment="1">
      <alignment horizontal="center"/>
    </xf>
    <xf numFmtId="189" fontId="10" fillId="0" borderId="11" xfId="3" applyNumberFormat="1" applyFont="1" applyBorder="1" applyAlignment="1"/>
    <xf numFmtId="0" fontId="10" fillId="0" borderId="11" xfId="3" quotePrefix="1" applyNumberFormat="1" applyFont="1" applyBorder="1" applyAlignment="1">
      <alignment horizontal="center"/>
    </xf>
    <xf numFmtId="0" fontId="10" fillId="0" borderId="10" xfId="3" applyNumberFormat="1" applyFont="1" applyBorder="1" applyAlignment="1">
      <alignment horizontal="center"/>
    </xf>
    <xf numFmtId="0" fontId="10" fillId="0" borderId="10" xfId="3" quotePrefix="1" applyNumberFormat="1" applyFont="1" applyBorder="1" applyAlignment="1">
      <alignment horizontal="center"/>
    </xf>
    <xf numFmtId="189" fontId="10" fillId="0" borderId="10" xfId="3" quotePrefix="1" applyNumberFormat="1" applyFont="1" applyBorder="1" applyAlignment="1">
      <alignment horizontal="right"/>
    </xf>
    <xf numFmtId="0" fontId="10" fillId="0" borderId="13" xfId="2" applyFont="1" applyBorder="1" applyAlignment="1">
      <alignment horizontal="left"/>
    </xf>
    <xf numFmtId="0" fontId="10" fillId="0" borderId="11" xfId="2" quotePrefix="1" applyNumberFormat="1" applyFont="1" applyBorder="1" applyAlignment="1">
      <alignment horizontal="center"/>
    </xf>
    <xf numFmtId="188" fontId="10" fillId="0" borderId="11" xfId="2" quotePrefix="1" applyNumberFormat="1" applyFont="1" applyBorder="1" applyAlignment="1">
      <alignment horizontal="center"/>
    </xf>
    <xf numFmtId="0" fontId="12" fillId="0" borderId="0" xfId="0" applyFont="1" applyBorder="1"/>
    <xf numFmtId="0" fontId="14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shrinkToFit="1"/>
    </xf>
    <xf numFmtId="0" fontId="12" fillId="0" borderId="11" xfId="0" applyFont="1" applyBorder="1" applyAlignment="1">
      <alignment horizontal="left" shrinkToFit="1"/>
    </xf>
    <xf numFmtId="0" fontId="12" fillId="0" borderId="11" xfId="0" quotePrefix="1" applyFont="1" applyBorder="1" applyAlignment="1">
      <alignment horizontal="center" shrinkToFit="1"/>
    </xf>
    <xf numFmtId="189" fontId="12" fillId="0" borderId="11" xfId="0" applyNumberFormat="1" applyFont="1" applyBorder="1" applyAlignment="1">
      <alignment horizontal="center" shrinkToFit="1"/>
    </xf>
    <xf numFmtId="0" fontId="14" fillId="0" borderId="11" xfId="0" applyFont="1" applyBorder="1" applyAlignment="1">
      <alignment horizontal="center" shrinkToFit="1"/>
    </xf>
    <xf numFmtId="0" fontId="8" fillId="0" borderId="5" xfId="2" applyFont="1" applyBorder="1" applyAlignment="1">
      <alignment horizontal="center" shrinkToFit="1"/>
    </xf>
    <xf numFmtId="189" fontId="3" fillId="0" borderId="11" xfId="3" quotePrefix="1" applyNumberFormat="1" applyFont="1" applyBorder="1" applyAlignment="1">
      <alignment horizontal="center"/>
    </xf>
    <xf numFmtId="0" fontId="17" fillId="0" borderId="11" xfId="2" applyFont="1" applyBorder="1" applyAlignment="1">
      <alignment horizontal="center" shrinkToFit="1"/>
    </xf>
    <xf numFmtId="189" fontId="10" fillId="0" borderId="11" xfId="3" quotePrefix="1" applyNumberFormat="1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0" fillId="0" borderId="23" xfId="2" quotePrefix="1" applyFont="1" applyBorder="1" applyAlignment="1">
      <alignment horizontal="center"/>
    </xf>
    <xf numFmtId="189" fontId="10" fillId="0" borderId="23" xfId="3" applyNumberFormat="1" applyFont="1" applyBorder="1"/>
    <xf numFmtId="189" fontId="10" fillId="0" borderId="23" xfId="2" applyNumberFormat="1" applyFont="1" applyBorder="1"/>
    <xf numFmtId="0" fontId="10" fillId="0" borderId="23" xfId="2" applyFont="1" applyBorder="1"/>
    <xf numFmtId="0" fontId="17" fillId="0" borderId="23" xfId="2" applyFont="1" applyBorder="1"/>
    <xf numFmtId="187" fontId="10" fillId="0" borderId="11" xfId="2" quotePrefix="1" applyNumberFormat="1" applyFont="1" applyBorder="1" applyAlignment="1"/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1" xfId="0" applyFont="1" applyBorder="1" applyAlignment="1">
      <alignment vertical="center" shrinkToFit="1"/>
    </xf>
    <xf numFmtId="189" fontId="12" fillId="0" borderId="5" xfId="1" applyNumberFormat="1" applyFont="1" applyBorder="1" applyAlignment="1">
      <alignment horizontal="center" shrinkToFit="1"/>
    </xf>
    <xf numFmtId="0" fontId="12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5" fillId="0" borderId="11" xfId="0" applyFont="1" applyBorder="1" applyAlignment="1">
      <alignment horizontal="left" shrinkToFit="1"/>
    </xf>
    <xf numFmtId="0" fontId="15" fillId="0" borderId="10" xfId="0" applyFont="1" applyBorder="1" applyAlignment="1">
      <alignment horizontal="left" shrinkToFit="1"/>
    </xf>
    <xf numFmtId="0" fontId="15" fillId="0" borderId="5" xfId="0" applyFont="1" applyBorder="1" applyAlignment="1">
      <alignment horizontal="left" shrinkToFit="1"/>
    </xf>
    <xf numFmtId="0" fontId="3" fillId="0" borderId="11" xfId="3" applyNumberFormat="1" applyFont="1" applyBorder="1" applyAlignment="1">
      <alignment horizontal="center"/>
    </xf>
    <xf numFmtId="0" fontId="3" fillId="0" borderId="11" xfId="3" quotePrefix="1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 shrinkToFit="1"/>
    </xf>
    <xf numFmtId="189" fontId="12" fillId="0" borderId="18" xfId="1" applyNumberFormat="1" applyFont="1" applyBorder="1" applyAlignment="1">
      <alignment horizontal="center" shrinkToFit="1"/>
    </xf>
    <xf numFmtId="14" fontId="12" fillId="0" borderId="11" xfId="0" quotePrefix="1" applyNumberFormat="1" applyFont="1" applyBorder="1" applyAlignment="1">
      <alignment horizontal="center" shrinkToFit="1"/>
    </xf>
    <xf numFmtId="0" fontId="13" fillId="0" borderId="11" xfId="0" applyFont="1" applyBorder="1" applyAlignment="1">
      <alignment horizontal="center" shrinkToFit="1"/>
    </xf>
    <xf numFmtId="0" fontId="12" fillId="0" borderId="5" xfId="0" applyFont="1" applyBorder="1"/>
    <xf numFmtId="0" fontId="12" fillId="0" borderId="9" xfId="0" applyFont="1" applyBorder="1"/>
    <xf numFmtId="189" fontId="12" fillId="0" borderId="5" xfId="0" applyNumberFormat="1" applyFont="1" applyBorder="1" applyAlignment="1">
      <alignment horizontal="center" shrinkToFit="1"/>
    </xf>
    <xf numFmtId="14" fontId="12" fillId="0" borderId="5" xfId="0" quotePrefix="1" applyNumberFormat="1" applyFont="1" applyBorder="1" applyAlignment="1">
      <alignment horizontal="center" shrinkToFit="1"/>
    </xf>
    <xf numFmtId="0" fontId="12" fillId="0" borderId="10" xfId="0" quotePrefix="1" applyFont="1" applyBorder="1" applyAlignment="1">
      <alignment horizontal="center" shrinkToFit="1"/>
    </xf>
    <xf numFmtId="0" fontId="12" fillId="0" borderId="5" xfId="0" quotePrefix="1" applyFont="1" applyBorder="1" applyAlignment="1">
      <alignment horizontal="center" shrinkToFit="1"/>
    </xf>
    <xf numFmtId="14" fontId="12" fillId="0" borderId="10" xfId="0" quotePrefix="1" applyNumberFormat="1" applyFont="1" applyBorder="1" applyAlignment="1">
      <alignment horizontal="center" shrinkToFit="1"/>
    </xf>
    <xf numFmtId="0" fontId="12" fillId="0" borderId="5" xfId="0" applyFont="1" applyBorder="1" applyAlignment="1">
      <alignment horizontal="center"/>
    </xf>
    <xf numFmtId="0" fontId="16" fillId="0" borderId="5" xfId="0" applyFont="1" applyBorder="1" applyAlignment="1">
      <alignment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11" xfId="0" applyFont="1" applyBorder="1" applyAlignment="1">
      <alignment shrinkToFit="1"/>
    </xf>
    <xf numFmtId="0" fontId="13" fillId="0" borderId="10" xfId="0" applyFont="1" applyBorder="1" applyAlignment="1">
      <alignment horizontal="center" shrinkToFit="1"/>
    </xf>
    <xf numFmtId="0" fontId="12" fillId="0" borderId="10" xfId="0" applyFont="1" applyBorder="1"/>
    <xf numFmtId="0" fontId="12" fillId="0" borderId="19" xfId="0" applyFont="1" applyBorder="1"/>
    <xf numFmtId="189" fontId="15" fillId="0" borderId="10" xfId="3" applyNumberFormat="1" applyFont="1" applyBorder="1" applyAlignment="1">
      <alignment horizontal="center" shrinkToFit="1"/>
    </xf>
    <xf numFmtId="189" fontId="10" fillId="0" borderId="10" xfId="3" applyNumberFormat="1" applyFont="1" applyBorder="1" applyAlignment="1">
      <alignment horizontal="center" shrinkToFit="1"/>
    </xf>
    <xf numFmtId="0" fontId="12" fillId="0" borderId="9" xfId="0" applyFont="1" applyBorder="1" applyAlignment="1">
      <alignment horizontal="center"/>
    </xf>
    <xf numFmtId="189" fontId="12" fillId="0" borderId="10" xfId="1" applyNumberFormat="1" applyFont="1" applyBorder="1" applyAlignment="1">
      <alignment horizontal="center" shrinkToFit="1"/>
    </xf>
    <xf numFmtId="0" fontId="12" fillId="0" borderId="3" xfId="0" applyFont="1" applyBorder="1"/>
    <xf numFmtId="189" fontId="10" fillId="0" borderId="0" xfId="3" applyNumberFormat="1" applyFont="1" applyBorder="1" applyAlignment="1">
      <alignment horizontal="center"/>
    </xf>
    <xf numFmtId="187" fontId="12" fillId="0" borderId="0" xfId="0" applyNumberFormat="1" applyFont="1" applyBorder="1" applyAlignment="1">
      <alignment shrinkToFit="1"/>
    </xf>
    <xf numFmtId="189" fontId="10" fillId="0" borderId="5" xfId="3" applyNumberFormat="1" applyFont="1" applyBorder="1" applyAlignment="1"/>
    <xf numFmtId="189" fontId="15" fillId="0" borderId="9" xfId="3" applyNumberFormat="1" applyFont="1" applyBorder="1" applyAlignment="1">
      <alignment shrinkToFit="1"/>
    </xf>
    <xf numFmtId="189" fontId="12" fillId="0" borderId="5" xfId="0" applyNumberFormat="1" applyFont="1" applyBorder="1"/>
    <xf numFmtId="0" fontId="14" fillId="0" borderId="1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10" fillId="0" borderId="5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3" xfId="2" applyFont="1" applyBorder="1"/>
    <xf numFmtId="187" fontId="10" fillId="0" borderId="13" xfId="2" quotePrefix="1" applyNumberFormat="1" applyFont="1" applyBorder="1" applyAlignment="1"/>
    <xf numFmtId="0" fontId="10" fillId="0" borderId="11" xfId="2" applyNumberFormat="1" applyFont="1" applyBorder="1" applyAlignment="1">
      <alignment horizontal="center"/>
    </xf>
    <xf numFmtId="0" fontId="10" fillId="0" borderId="13" xfId="2" quotePrefix="1" applyNumberFormat="1" applyFont="1" applyBorder="1" applyAlignment="1">
      <alignment horizontal="center"/>
    </xf>
    <xf numFmtId="0" fontId="10" fillId="0" borderId="11" xfId="2" applyNumberFormat="1" applyFont="1" applyBorder="1" applyAlignment="1">
      <alignment horizontal="center" vertical="center"/>
    </xf>
    <xf numFmtId="0" fontId="10" fillId="0" borderId="9" xfId="2" quotePrefix="1" applyFont="1" applyBorder="1" applyAlignment="1">
      <alignment horizontal="center" vertical="center"/>
    </xf>
    <xf numFmtId="187" fontId="10" fillId="0" borderId="10" xfId="2" quotePrefix="1" applyNumberFormat="1" applyFont="1" applyBorder="1" applyAlignment="1"/>
    <xf numFmtId="0" fontId="17" fillId="0" borderId="5" xfId="2" applyFont="1" applyBorder="1" applyAlignment="1">
      <alignment horizontal="center" shrinkToFit="1"/>
    </xf>
    <xf numFmtId="189" fontId="10" fillId="0" borderId="5" xfId="3" quotePrefix="1" applyNumberFormat="1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189" fontId="0" fillId="0" borderId="0" xfId="1" applyNumberFormat="1" applyFont="1"/>
    <xf numFmtId="188" fontId="0" fillId="0" borderId="0" xfId="0" applyNumberFormat="1"/>
    <xf numFmtId="0" fontId="21" fillId="0" borderId="0" xfId="0" applyFont="1"/>
    <xf numFmtId="0" fontId="3" fillId="0" borderId="13" xfId="2" quotePrefix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3" fillId="0" borderId="1" xfId="3" applyNumberFormat="1" applyFont="1" applyBorder="1"/>
    <xf numFmtId="189" fontId="3" fillId="0" borderId="1" xfId="3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9" xfId="2" applyFont="1" applyBorder="1"/>
    <xf numFmtId="49" fontId="10" fillId="0" borderId="14" xfId="2" applyNumberFormat="1" applyFont="1" applyBorder="1" applyAlignment="1">
      <alignment horizontal="center"/>
    </xf>
    <xf numFmtId="0" fontId="5" fillId="0" borderId="0" xfId="0" applyFont="1"/>
    <xf numFmtId="0" fontId="22" fillId="0" borderId="0" xfId="0" applyFont="1"/>
    <xf numFmtId="0" fontId="17" fillId="0" borderId="0" xfId="0" applyFont="1"/>
    <xf numFmtId="0" fontId="23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0" fillId="0" borderId="0" xfId="2" applyFont="1" applyAlignment="1">
      <alignment horizontal="right"/>
    </xf>
    <xf numFmtId="0" fontId="12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shrinkToFit="1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vertic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187" fontId="10" fillId="0" borderId="0" xfId="2" quotePrefix="1" applyNumberFormat="1" applyFont="1" applyBorder="1" applyAlignment="1">
      <alignment horizontal="center"/>
    </xf>
    <xf numFmtId="0" fontId="24" fillId="0" borderId="0" xfId="0" applyFont="1"/>
    <xf numFmtId="0" fontId="25" fillId="0" borderId="5" xfId="0" applyFont="1" applyBorder="1" applyAlignment="1">
      <alignment horizontal="left" shrinkToFit="1"/>
    </xf>
    <xf numFmtId="189" fontId="10" fillId="0" borderId="5" xfId="3" applyNumberFormat="1" applyFont="1" applyBorder="1" applyAlignment="1">
      <alignment horizontal="center" shrinkToFit="1"/>
    </xf>
    <xf numFmtId="0" fontId="12" fillId="0" borderId="23" xfId="0" applyFont="1" applyBorder="1" applyAlignment="1">
      <alignment horizontal="center" shrinkToFit="1"/>
    </xf>
    <xf numFmtId="0" fontId="14" fillId="0" borderId="23" xfId="0" applyFont="1" applyBorder="1" applyAlignment="1">
      <alignment horizontal="center" shrinkToFit="1"/>
    </xf>
    <xf numFmtId="0" fontId="12" fillId="0" borderId="23" xfId="0" applyFont="1" applyBorder="1" applyAlignment="1">
      <alignment shrinkToFit="1"/>
    </xf>
    <xf numFmtId="189" fontId="12" fillId="0" borderId="23" xfId="1" applyNumberFormat="1" applyFont="1" applyBorder="1" applyAlignment="1">
      <alignment horizontal="center" shrinkToFit="1"/>
    </xf>
    <xf numFmtId="189" fontId="12" fillId="0" borderId="23" xfId="1" applyNumberFormat="1" applyFont="1" applyBorder="1" applyAlignment="1">
      <alignment shrinkToFit="1"/>
    </xf>
    <xf numFmtId="0" fontId="14" fillId="0" borderId="1" xfId="0" applyFont="1" applyBorder="1" applyAlignment="1">
      <alignment horizontal="center" shrinkToFit="1"/>
    </xf>
    <xf numFmtId="0" fontId="12" fillId="0" borderId="18" xfId="0" applyFont="1" applyBorder="1" applyAlignment="1">
      <alignment horizontal="center"/>
    </xf>
    <xf numFmtId="0" fontId="12" fillId="0" borderId="18" xfId="0" applyFont="1" applyBorder="1"/>
    <xf numFmtId="0" fontId="14" fillId="0" borderId="23" xfId="0" applyFont="1" applyBorder="1" applyAlignment="1">
      <alignment shrinkToFit="1"/>
    </xf>
    <xf numFmtId="187" fontId="12" fillId="0" borderId="23" xfId="0" applyNumberFormat="1" applyFont="1" applyBorder="1" applyAlignment="1">
      <alignment shrinkToFit="1"/>
    </xf>
    <xf numFmtId="187" fontId="12" fillId="0" borderId="10" xfId="0" applyNumberFormat="1" applyFont="1" applyBorder="1" applyAlignment="1">
      <alignment horizontal="center" shrinkToFit="1"/>
    </xf>
    <xf numFmtId="0" fontId="14" fillId="0" borderId="11" xfId="0" applyFont="1" applyBorder="1" applyAlignment="1">
      <alignment horizontal="center" vertical="center" shrinkToFit="1"/>
    </xf>
    <xf numFmtId="189" fontId="15" fillId="0" borderId="10" xfId="3" applyNumberFormat="1" applyFont="1" applyBorder="1" applyAlignment="1">
      <alignment shrinkToFit="1"/>
    </xf>
    <xf numFmtId="0" fontId="14" fillId="0" borderId="1" xfId="0" applyFont="1" applyBorder="1" applyAlignment="1">
      <alignment horizontal="center"/>
    </xf>
    <xf numFmtId="189" fontId="12" fillId="0" borderId="1" xfId="1" applyNumberFormat="1" applyFont="1" applyBorder="1" applyAlignment="1">
      <alignment horizontal="center" shrinkToFit="1"/>
    </xf>
    <xf numFmtId="0" fontId="13" fillId="0" borderId="10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9" xfId="0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3" fillId="0" borderId="24" xfId="2" applyFont="1" applyBorder="1"/>
    <xf numFmtId="0" fontId="3" fillId="0" borderId="24" xfId="2" applyNumberFormat="1" applyFont="1" applyBorder="1" applyAlignment="1">
      <alignment horizontal="center"/>
    </xf>
    <xf numFmtId="0" fontId="3" fillId="0" borderId="24" xfId="2" quotePrefix="1" applyFont="1" applyBorder="1" applyAlignment="1">
      <alignment horizontal="center"/>
    </xf>
    <xf numFmtId="188" fontId="3" fillId="0" borderId="24" xfId="2" quotePrefix="1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3" xfId="2" quotePrefix="1" applyNumberFormat="1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8" fillId="0" borderId="23" xfId="2" applyFont="1" applyBorder="1" applyAlignment="1">
      <alignment horizontal="center"/>
    </xf>
    <xf numFmtId="0" fontId="3" fillId="0" borderId="23" xfId="2" quotePrefix="1" applyNumberFormat="1" applyFont="1" applyBorder="1" applyAlignment="1">
      <alignment horizontal="center"/>
    </xf>
    <xf numFmtId="0" fontId="3" fillId="0" borderId="23" xfId="2" quotePrefix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1" xfId="2" applyFont="1" applyBorder="1" applyAlignment="1">
      <alignment horizontal="center" shrinkToFit="1"/>
    </xf>
    <xf numFmtId="0" fontId="3" fillId="0" borderId="1" xfId="2" quotePrefix="1" applyNumberFormat="1" applyFont="1" applyBorder="1" applyAlignment="1">
      <alignment horizontal="center"/>
    </xf>
    <xf numFmtId="187" fontId="3" fillId="0" borderId="1" xfId="2" quotePrefix="1" applyNumberFormat="1" applyFont="1" applyBorder="1" applyAlignment="1"/>
    <xf numFmtId="187" fontId="3" fillId="0" borderId="1" xfId="2" quotePrefix="1" applyNumberFormat="1" applyFont="1" applyBorder="1" applyAlignment="1">
      <alignment horizontal="center"/>
    </xf>
    <xf numFmtId="189" fontId="3" fillId="0" borderId="13" xfId="3" quotePrefix="1" applyNumberFormat="1" applyFont="1" applyBorder="1" applyAlignment="1">
      <alignment horizontal="right"/>
    </xf>
    <xf numFmtId="0" fontId="6" fillId="0" borderId="1" xfId="0" applyFont="1" applyBorder="1"/>
    <xf numFmtId="0" fontId="20" fillId="0" borderId="1" xfId="0" applyFont="1" applyBorder="1" applyAlignment="1">
      <alignment horizontal="center"/>
    </xf>
    <xf numFmtId="0" fontId="6" fillId="0" borderId="11" xfId="0" applyFont="1" applyBorder="1"/>
    <xf numFmtId="0" fontId="20" fillId="0" borderId="11" xfId="0" applyFont="1" applyBorder="1" applyAlignment="1">
      <alignment horizontal="center"/>
    </xf>
    <xf numFmtId="0" fontId="3" fillId="0" borderId="9" xfId="3" quotePrefix="1" applyNumberFormat="1" applyFont="1" applyBorder="1" applyAlignment="1">
      <alignment horizontal="center"/>
    </xf>
    <xf numFmtId="189" fontId="3" fillId="0" borderId="9" xfId="3" quotePrefix="1" applyNumberFormat="1" applyFont="1" applyBorder="1" applyAlignment="1">
      <alignment horizontal="right"/>
    </xf>
    <xf numFmtId="0" fontId="10" fillId="0" borderId="3" xfId="2" applyFont="1" applyBorder="1"/>
    <xf numFmtId="0" fontId="10" fillId="0" borderId="3" xfId="2" applyFont="1" applyBorder="1" applyAlignment="1">
      <alignment horizontal="center" shrinkToFit="1"/>
    </xf>
    <xf numFmtId="189" fontId="10" fillId="0" borderId="3" xfId="3" applyNumberFormat="1" applyFont="1" applyBorder="1"/>
    <xf numFmtId="187" fontId="10" fillId="0" borderId="3" xfId="2" quotePrefix="1" applyNumberFormat="1" applyFont="1" applyBorder="1" applyAlignment="1">
      <alignment horizontal="center"/>
    </xf>
    <xf numFmtId="0" fontId="10" fillId="0" borderId="3" xfId="2" quotePrefix="1" applyFont="1" applyBorder="1" applyAlignment="1">
      <alignment horizontal="center"/>
    </xf>
    <xf numFmtId="0" fontId="10" fillId="0" borderId="1" xfId="2" applyFont="1" applyBorder="1" applyAlignment="1">
      <alignment vertical="center"/>
    </xf>
    <xf numFmtId="0" fontId="17" fillId="0" borderId="1" xfId="2" applyFont="1" applyBorder="1" applyAlignment="1">
      <alignment horizontal="center"/>
    </xf>
    <xf numFmtId="0" fontId="10" fillId="0" borderId="1" xfId="2" quotePrefix="1" applyFont="1" applyBorder="1" applyAlignment="1">
      <alignment horizontal="center" vertical="center"/>
    </xf>
    <xf numFmtId="0" fontId="10" fillId="0" borderId="11" xfId="2" applyFont="1" applyBorder="1" applyAlignment="1">
      <alignment vertical="center"/>
    </xf>
    <xf numFmtId="0" fontId="17" fillId="0" borderId="11" xfId="2" applyFont="1" applyBorder="1" applyAlignment="1">
      <alignment horizontal="center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49" fontId="10" fillId="0" borderId="11" xfId="2" applyNumberFormat="1" applyFont="1" applyBorder="1" applyAlignment="1">
      <alignment horizontal="center"/>
    </xf>
    <xf numFmtId="0" fontId="10" fillId="0" borderId="10" xfId="2" applyFont="1" applyBorder="1" applyAlignment="1">
      <alignment horizontal="center" vertical="center"/>
    </xf>
    <xf numFmtId="189" fontId="10" fillId="0" borderId="9" xfId="3" applyNumberFormat="1" applyFont="1" applyBorder="1" applyAlignment="1">
      <alignment horizontal="center"/>
    </xf>
    <xf numFmtId="0" fontId="10" fillId="0" borderId="9" xfId="3" applyNumberFormat="1" applyFont="1" applyBorder="1" applyAlignment="1">
      <alignment horizontal="center"/>
    </xf>
    <xf numFmtId="0" fontId="10" fillId="0" borderId="9" xfId="3" quotePrefix="1" applyNumberFormat="1" applyFont="1" applyBorder="1" applyAlignment="1">
      <alignment horizontal="center"/>
    </xf>
    <xf numFmtId="0" fontId="10" fillId="0" borderId="9" xfId="2" quotePrefix="1" applyFont="1" applyBorder="1" applyAlignment="1">
      <alignment horizontal="center" wrapText="1"/>
    </xf>
    <xf numFmtId="0" fontId="10" fillId="0" borderId="10" xfId="2" quotePrefix="1" applyFont="1" applyBorder="1" applyAlignment="1">
      <alignment horizontal="center" wrapText="1"/>
    </xf>
    <xf numFmtId="0" fontId="17" fillId="0" borderId="12" xfId="2" applyFont="1" applyBorder="1" applyAlignment="1">
      <alignment horizontal="center" shrinkToFit="1"/>
    </xf>
    <xf numFmtId="0" fontId="10" fillId="0" borderId="11" xfId="2" applyFont="1" applyBorder="1" applyAlignment="1">
      <alignment shrinkToFit="1"/>
    </xf>
    <xf numFmtId="0" fontId="10" fillId="0" borderId="10" xfId="2" applyFont="1" applyBorder="1" applyAlignment="1"/>
    <xf numFmtId="0" fontId="10" fillId="0" borderId="25" xfId="2" applyFont="1" applyBorder="1" applyAlignment="1">
      <alignment horizontal="center"/>
    </xf>
    <xf numFmtId="0" fontId="10" fillId="0" borderId="25" xfId="2" applyFont="1" applyBorder="1"/>
    <xf numFmtId="0" fontId="10" fillId="0" borderId="25" xfId="2" applyFont="1" applyBorder="1" applyAlignment="1">
      <alignment horizontal="center" shrinkToFit="1"/>
    </xf>
    <xf numFmtId="189" fontId="10" fillId="0" borderId="25" xfId="3" applyNumberFormat="1" applyFont="1" applyBorder="1"/>
    <xf numFmtId="0" fontId="10" fillId="0" borderId="25" xfId="2" quotePrefix="1" applyFont="1" applyBorder="1" applyAlignment="1">
      <alignment horizontal="center"/>
    </xf>
    <xf numFmtId="187" fontId="10" fillId="0" borderId="25" xfId="2" quotePrefix="1" applyNumberFormat="1" applyFont="1" applyBorder="1" applyAlignment="1"/>
    <xf numFmtId="187" fontId="10" fillId="0" borderId="25" xfId="2" quotePrefix="1" applyNumberFormat="1" applyFont="1" applyBorder="1" applyAlignment="1">
      <alignment horizontal="center"/>
    </xf>
    <xf numFmtId="189" fontId="10" fillId="0" borderId="25" xfId="2" applyNumberFormat="1" applyFont="1" applyBorder="1"/>
    <xf numFmtId="189" fontId="10" fillId="0" borderId="25" xfId="1" quotePrefix="1" applyNumberFormat="1" applyFont="1" applyBorder="1" applyAlignment="1">
      <alignment horizontal="center"/>
    </xf>
    <xf numFmtId="0" fontId="14" fillId="0" borderId="1" xfId="0" applyFont="1" applyBorder="1" applyAlignment="1">
      <alignment shrinkToFit="1"/>
    </xf>
    <xf numFmtId="189" fontId="16" fillId="0" borderId="11" xfId="1" applyNumberFormat="1" applyFont="1" applyBorder="1" applyAlignment="1">
      <alignment shrinkToFit="1"/>
    </xf>
    <xf numFmtId="0" fontId="16" fillId="0" borderId="10" xfId="0" applyFont="1" applyBorder="1" applyAlignment="1">
      <alignment shrinkToFit="1"/>
    </xf>
    <xf numFmtId="189" fontId="16" fillId="0" borderId="10" xfId="1" applyNumberFormat="1" applyFont="1" applyBorder="1" applyAlignment="1">
      <alignment horizontal="center" shrinkToFit="1"/>
    </xf>
    <xf numFmtId="190" fontId="0" fillId="0" borderId="0" xfId="0" applyNumberFormat="1"/>
    <xf numFmtId="189" fontId="15" fillId="0" borderId="11" xfId="3" applyNumberFormat="1" applyFont="1" applyBorder="1"/>
    <xf numFmtId="189" fontId="15" fillId="0" borderId="10" xfId="3" applyNumberFormat="1" applyFont="1" applyBorder="1" applyAlignment="1">
      <alignment horizontal="center"/>
    </xf>
    <xf numFmtId="189" fontId="15" fillId="0" borderId="5" xfId="3" applyNumberFormat="1" applyFont="1" applyBorder="1" applyAlignment="1">
      <alignment horizontal="center"/>
    </xf>
    <xf numFmtId="189" fontId="15" fillId="0" borderId="5" xfId="3" applyNumberFormat="1" applyFont="1" applyBorder="1"/>
    <xf numFmtId="189" fontId="10" fillId="0" borderId="10" xfId="3" applyNumberFormat="1" applyFont="1" applyBorder="1" applyAlignment="1">
      <alignment shrinkToFit="1"/>
    </xf>
    <xf numFmtId="0" fontId="15" fillId="0" borderId="5" xfId="0" applyFont="1" applyBorder="1" applyAlignment="1">
      <alignment horizontal="left"/>
    </xf>
    <xf numFmtId="189" fontId="12" fillId="0" borderId="5" xfId="0" applyNumberFormat="1" applyFont="1" applyBorder="1" applyAlignment="1">
      <alignment horizontal="center" readingOrder="1"/>
    </xf>
    <xf numFmtId="0" fontId="12" fillId="0" borderId="0" xfId="0" applyFont="1" applyBorder="1" applyAlignment="1">
      <alignment horizontal="center" shrinkToFit="1"/>
    </xf>
    <xf numFmtId="189" fontId="12" fillId="0" borderId="9" xfId="1" applyNumberFormat="1" applyFont="1" applyBorder="1" applyAlignment="1">
      <alignment horizontal="center" shrinkToFit="1"/>
    </xf>
    <xf numFmtId="189" fontId="12" fillId="0" borderId="9" xfId="1" applyNumberFormat="1" applyFont="1" applyBorder="1" applyAlignment="1">
      <alignment shrinkToFit="1"/>
    </xf>
    <xf numFmtId="189" fontId="12" fillId="0" borderId="0" xfId="1" applyNumberFormat="1" applyFont="1" applyBorder="1" applyAlignment="1">
      <alignment shrinkToFit="1"/>
    </xf>
    <xf numFmtId="3" fontId="10" fillId="0" borderId="10" xfId="2" quotePrefix="1" applyNumberFormat="1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10" fillId="0" borderId="18" xfId="2" applyFont="1" applyBorder="1"/>
    <xf numFmtId="189" fontId="10" fillId="0" borderId="18" xfId="3" applyNumberFormat="1" applyFont="1" applyBorder="1" applyAlignment="1">
      <alignment horizontal="center"/>
    </xf>
    <xf numFmtId="0" fontId="10" fillId="0" borderId="18" xfId="3" applyNumberFormat="1" applyFont="1" applyBorder="1" applyAlignment="1">
      <alignment horizontal="center"/>
    </xf>
    <xf numFmtId="189" fontId="10" fillId="0" borderId="18" xfId="3" applyNumberFormat="1" applyFont="1" applyBorder="1" applyAlignment="1"/>
    <xf numFmtId="187" fontId="10" fillId="0" borderId="18" xfId="2" quotePrefix="1" applyNumberFormat="1" applyFont="1" applyBorder="1" applyAlignment="1">
      <alignment horizontal="center"/>
    </xf>
    <xf numFmtId="0" fontId="10" fillId="0" borderId="18" xfId="3" quotePrefix="1" applyNumberFormat="1" applyFont="1" applyBorder="1" applyAlignment="1">
      <alignment horizontal="center"/>
    </xf>
    <xf numFmtId="189" fontId="10" fillId="0" borderId="18" xfId="3" quotePrefix="1" applyNumberFormat="1" applyFont="1" applyBorder="1" applyAlignment="1">
      <alignment horizontal="right"/>
    </xf>
    <xf numFmtId="189" fontId="10" fillId="0" borderId="18" xfId="2" applyNumberFormat="1" applyFont="1" applyBorder="1"/>
    <xf numFmtId="0" fontId="10" fillId="0" borderId="18" xfId="2" quotePrefix="1" applyFont="1" applyBorder="1" applyAlignment="1">
      <alignment horizontal="center" wrapText="1"/>
    </xf>
    <xf numFmtId="189" fontId="10" fillId="0" borderId="23" xfId="3" applyNumberFormat="1" applyFont="1" applyBorder="1" applyAlignment="1">
      <alignment horizontal="center"/>
    </xf>
    <xf numFmtId="0" fontId="10" fillId="0" borderId="23" xfId="3" applyNumberFormat="1" applyFont="1" applyBorder="1" applyAlignment="1">
      <alignment horizontal="center"/>
    </xf>
    <xf numFmtId="189" fontId="10" fillId="0" borderId="23" xfId="3" applyNumberFormat="1" applyFont="1" applyBorder="1" applyAlignment="1"/>
    <xf numFmtId="187" fontId="10" fillId="0" borderId="23" xfId="2" quotePrefix="1" applyNumberFormat="1" applyFont="1" applyBorder="1" applyAlignment="1">
      <alignment horizontal="center"/>
    </xf>
    <xf numFmtId="0" fontId="10" fillId="0" borderId="23" xfId="3" quotePrefix="1" applyNumberFormat="1" applyFont="1" applyBorder="1" applyAlignment="1">
      <alignment horizontal="center"/>
    </xf>
    <xf numFmtId="189" fontId="10" fillId="0" borderId="23" xfId="3" quotePrefix="1" applyNumberFormat="1" applyFont="1" applyBorder="1" applyAlignment="1">
      <alignment horizontal="right"/>
    </xf>
    <xf numFmtId="0" fontId="10" fillId="0" borderId="23" xfId="2" quotePrefix="1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3" xfId="0" applyFont="1" applyBorder="1"/>
    <xf numFmtId="187" fontId="12" fillId="0" borderId="5" xfId="0" applyNumberFormat="1" applyFont="1" applyBorder="1"/>
    <xf numFmtId="189" fontId="10" fillId="0" borderId="18" xfId="3" applyNumberFormat="1" applyFont="1" applyBorder="1" applyAlignment="1">
      <alignment shrinkToFit="1"/>
    </xf>
    <xf numFmtId="189" fontId="12" fillId="0" borderId="18" xfId="0" applyNumberFormat="1" applyFont="1" applyBorder="1" applyAlignment="1">
      <alignment shrinkToFit="1"/>
    </xf>
    <xf numFmtId="189" fontId="10" fillId="0" borderId="14" xfId="3" quotePrefix="1" applyNumberFormat="1" applyFont="1" applyBorder="1" applyAlignment="1"/>
    <xf numFmtId="0" fontId="3" fillId="0" borderId="3" xfId="2" applyFont="1" applyBorder="1" applyAlignment="1">
      <alignment horizontal="center"/>
    </xf>
    <xf numFmtId="0" fontId="3" fillId="0" borderId="13" xfId="2" applyFont="1" applyBorder="1" applyAlignment="1">
      <alignment shrinkToFit="1"/>
    </xf>
    <xf numFmtId="0" fontId="3" fillId="0" borderId="5" xfId="3" quotePrefix="1" applyNumberFormat="1" applyFont="1" applyBorder="1" applyAlignment="1">
      <alignment horizontal="center"/>
    </xf>
    <xf numFmtId="189" fontId="3" fillId="0" borderId="5" xfId="3" quotePrefix="1" applyNumberFormat="1" applyFont="1" applyBorder="1" applyAlignment="1">
      <alignment horizontal="right"/>
    </xf>
    <xf numFmtId="0" fontId="3" fillId="0" borderId="18" xfId="2" applyFont="1" applyBorder="1" applyAlignment="1">
      <alignment horizontal="center"/>
    </xf>
    <xf numFmtId="0" fontId="3" fillId="0" borderId="18" xfId="2" applyFont="1" applyBorder="1"/>
    <xf numFmtId="0" fontId="3" fillId="0" borderId="18" xfId="3" quotePrefix="1" applyNumberFormat="1" applyFont="1" applyBorder="1" applyAlignment="1">
      <alignment horizontal="center"/>
    </xf>
    <xf numFmtId="189" fontId="3" fillId="0" borderId="18" xfId="3" quotePrefix="1" applyNumberFormat="1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3" fillId="0" borderId="11" xfId="2" applyFont="1" applyBorder="1" applyAlignment="1">
      <alignment horizontal="left"/>
    </xf>
    <xf numFmtId="0" fontId="7" fillId="0" borderId="3" xfId="0" applyFont="1" applyBorder="1"/>
    <xf numFmtId="0" fontId="6" fillId="0" borderId="3" xfId="0" applyFont="1" applyBorder="1" applyAlignment="1">
      <alignment horizontal="center"/>
    </xf>
    <xf numFmtId="189" fontId="23" fillId="0" borderId="0" xfId="0" applyNumberFormat="1" applyFont="1"/>
    <xf numFmtId="0" fontId="12" fillId="0" borderId="0" xfId="0" applyFont="1" applyBorder="1" applyAlignment="1">
      <alignment horizont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shrinkToFit="1"/>
    </xf>
    <xf numFmtId="0" fontId="12" fillId="0" borderId="0" xfId="0" applyFont="1" applyBorder="1" applyAlignment="1">
      <alignment horizontal="center" shrinkToFit="1"/>
    </xf>
    <xf numFmtId="0" fontId="12" fillId="0" borderId="0" xfId="0" applyFont="1" applyAlignment="1">
      <alignment horizontal="center"/>
    </xf>
    <xf numFmtId="189" fontId="26" fillId="0" borderId="11" xfId="3" applyNumberFormat="1" applyFont="1" applyBorder="1"/>
    <xf numFmtId="0" fontId="27" fillId="0" borderId="11" xfId="2" quotePrefix="1" applyFont="1" applyBorder="1" applyAlignment="1">
      <alignment horizontal="center"/>
    </xf>
    <xf numFmtId="0" fontId="12" fillId="0" borderId="7" xfId="0" applyFont="1" applyBorder="1" applyAlignment="1">
      <alignment horizontal="center" shrinkToFit="1"/>
    </xf>
    <xf numFmtId="0" fontId="12" fillId="0" borderId="7" xfId="0" applyFont="1" applyBorder="1" applyAlignment="1">
      <alignment shrinkToFit="1"/>
    </xf>
    <xf numFmtId="189" fontId="15" fillId="0" borderId="7" xfId="3" applyNumberFormat="1" applyFont="1" applyBorder="1" applyAlignment="1">
      <alignment shrinkToFit="1"/>
    </xf>
    <xf numFmtId="0" fontId="9" fillId="0" borderId="15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5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12" fillId="0" borderId="4" xfId="0" applyFont="1" applyBorder="1" applyAlignment="1">
      <alignment horizontal="center" shrinkToFit="1"/>
    </xf>
    <xf numFmtId="0" fontId="12" fillId="0" borderId="15" xfId="0" applyFont="1" applyBorder="1" applyAlignment="1">
      <alignment horizontal="center" shrinkToFit="1"/>
    </xf>
    <xf numFmtId="0" fontId="12" fillId="0" borderId="17" xfId="0" applyFont="1" applyBorder="1" applyAlignment="1">
      <alignment horizontal="center" shrinkToFit="1"/>
    </xf>
    <xf numFmtId="0" fontId="12" fillId="0" borderId="16" xfId="0" applyFont="1" applyBorder="1" applyAlignment="1">
      <alignment horizontal="center" shrinkToFit="1"/>
    </xf>
    <xf numFmtId="0" fontId="3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6">
    <cellStyle name="Comma 2" xfId="3"/>
    <cellStyle name="Normal 2" xfId="2"/>
    <cellStyle name="เครื่องหมายจุลภาค" xfId="1" builtinId="3"/>
    <cellStyle name="เครื่องหมายจุลภาค 3" xfId="4"/>
    <cellStyle name="ปกติ" xfId="0" builtinId="0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15874</xdr:colOff>
      <xdr:row>113</xdr:row>
      <xdr:rowOff>7937</xdr:rowOff>
    </xdr:from>
    <xdr:to>
      <xdr:col>9</xdr:col>
      <xdr:colOff>976312</xdr:colOff>
      <xdr:row>113</xdr:row>
      <xdr:rowOff>365124</xdr:rowOff>
    </xdr:to>
    <xdr:sp macro="" textlink="">
      <xdr:nvSpPr>
        <xdr:cNvPr id="2" name="กล่องข้อความ 1"/>
        <xdr:cNvSpPr txBox="1"/>
      </xdr:nvSpPr>
      <xdr:spPr>
        <a:xfrm>
          <a:off x="5643562" y="26773187"/>
          <a:ext cx="960438" cy="357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800">
              <a:latin typeface="TH SarabunIT๙" panose="020B0500040200020003" pitchFamily="34" charset="-34"/>
              <a:cs typeface="TH SarabunIT๙" panose="020B0500040200020003" pitchFamily="34" charset="-34"/>
            </a:rPr>
            <a:t>เพิ่มตาม</a:t>
          </a:r>
          <a:r>
            <a:rPr lang="th-TH" sz="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มติ ก.อบต.จ. ครั้งที่ 4/64 เมื่อ 28 พ.ค. 64</a:t>
          </a:r>
          <a:endParaRPr lang="th-TH" sz="8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000">
            <a:latin typeface="TH SarabunIT๙" panose="020B0500040200020003" pitchFamily="34" charset="-34"/>
            <a:cs typeface="TH SarabunIT๙" panose="020B0500040200020003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R158"/>
  <sheetViews>
    <sheetView topLeftCell="A118" zoomScale="120" zoomScaleNormal="120" workbookViewId="0">
      <selection activeCell="Q130" sqref="Q130"/>
    </sheetView>
  </sheetViews>
  <sheetFormatPr defaultRowHeight="15" x14ac:dyDescent="0.25"/>
  <cols>
    <col min="1" max="1" width="3.75" style="77" customWidth="1"/>
    <col min="2" max="2" width="28.125" style="77" customWidth="1"/>
    <col min="3" max="3" width="7" style="78" customWidth="1"/>
    <col min="4" max="9" width="5.875" style="77" customWidth="1"/>
    <col min="10" max="10" width="13.125" style="79" customWidth="1"/>
  </cols>
  <sheetData>
    <row r="3" spans="1:10" ht="20.25" customHeight="1" x14ac:dyDescent="0.25"/>
    <row r="4" spans="1:10" ht="20.25" customHeight="1" x14ac:dyDescent="0.25"/>
    <row r="5" spans="1:10" ht="20.25" customHeight="1" x14ac:dyDescent="0.3">
      <c r="A5" s="524" t="s">
        <v>347</v>
      </c>
      <c r="B5" s="524"/>
      <c r="C5" s="524"/>
      <c r="D5" s="524"/>
      <c r="E5" s="524"/>
      <c r="F5" s="524"/>
      <c r="G5" s="524"/>
      <c r="H5" s="524"/>
      <c r="I5" s="524"/>
      <c r="J5" s="524"/>
    </row>
    <row r="6" spans="1:10" ht="20.25" customHeight="1" x14ac:dyDescent="0.25"/>
    <row r="7" spans="1:10" s="2" customFormat="1" ht="18.75" x14ac:dyDescent="0.3">
      <c r="A7" s="483" t="s">
        <v>1</v>
      </c>
      <c r="B7" s="483" t="s">
        <v>2</v>
      </c>
      <c r="C7" s="1" t="s">
        <v>3</v>
      </c>
      <c r="D7" s="486" t="s">
        <v>4</v>
      </c>
      <c r="E7" s="487"/>
      <c r="F7" s="488"/>
      <c r="G7" s="489" t="s">
        <v>5</v>
      </c>
      <c r="H7" s="490"/>
      <c r="I7" s="491"/>
      <c r="J7" s="492" t="s">
        <v>6</v>
      </c>
    </row>
    <row r="8" spans="1:10" s="2" customFormat="1" ht="18.75" x14ac:dyDescent="0.3">
      <c r="A8" s="484"/>
      <c r="B8" s="484"/>
      <c r="C8" s="3" t="s">
        <v>7</v>
      </c>
      <c r="D8" s="495" t="s">
        <v>8</v>
      </c>
      <c r="E8" s="496"/>
      <c r="F8" s="497"/>
      <c r="G8" s="495" t="s">
        <v>9</v>
      </c>
      <c r="H8" s="496"/>
      <c r="I8" s="497"/>
      <c r="J8" s="493"/>
    </row>
    <row r="9" spans="1:10" s="2" customFormat="1" ht="18.75" x14ac:dyDescent="0.3">
      <c r="A9" s="484"/>
      <c r="B9" s="484"/>
      <c r="C9" s="4" t="s">
        <v>10</v>
      </c>
      <c r="D9" s="8" t="s">
        <v>249</v>
      </c>
      <c r="E9" s="8" t="s">
        <v>250</v>
      </c>
      <c r="F9" s="8" t="s">
        <v>251</v>
      </c>
      <c r="G9" s="8" t="s">
        <v>249</v>
      </c>
      <c r="H9" s="8" t="s">
        <v>250</v>
      </c>
      <c r="I9" s="8" t="s">
        <v>251</v>
      </c>
      <c r="J9" s="494"/>
    </row>
    <row r="10" spans="1:10" s="2" customFormat="1" ht="18.75" x14ac:dyDescent="0.3">
      <c r="A10" s="5">
        <v>1</v>
      </c>
      <c r="B10" s="6" t="s">
        <v>348</v>
      </c>
      <c r="C10" s="7">
        <v>1</v>
      </c>
      <c r="D10" s="8">
        <v>1</v>
      </c>
      <c r="E10" s="8">
        <v>1</v>
      </c>
      <c r="F10" s="8">
        <v>1</v>
      </c>
      <c r="G10" s="9">
        <v>0</v>
      </c>
      <c r="H10" s="9">
        <v>0</v>
      </c>
      <c r="I10" s="9">
        <v>0</v>
      </c>
      <c r="J10" s="10"/>
    </row>
    <row r="11" spans="1:10" s="2" customFormat="1" ht="18.75" x14ac:dyDescent="0.3">
      <c r="A11" s="11"/>
      <c r="B11" s="12" t="s">
        <v>349</v>
      </c>
      <c r="C11" s="13"/>
      <c r="D11" s="14"/>
      <c r="E11" s="14"/>
      <c r="F11" s="14"/>
      <c r="G11" s="15"/>
      <c r="H11" s="15"/>
      <c r="I11" s="15"/>
      <c r="J11" s="10"/>
    </row>
    <row r="12" spans="1:10" s="2" customFormat="1" ht="18.75" x14ac:dyDescent="0.3">
      <c r="A12" s="16">
        <v>2</v>
      </c>
      <c r="B12" s="17" t="s">
        <v>351</v>
      </c>
      <c r="C12" s="18">
        <v>1</v>
      </c>
      <c r="D12" s="19">
        <v>1</v>
      </c>
      <c r="E12" s="19">
        <v>1</v>
      </c>
      <c r="F12" s="19">
        <v>1</v>
      </c>
      <c r="G12" s="241">
        <v>0</v>
      </c>
      <c r="H12" s="241">
        <v>0</v>
      </c>
      <c r="I12" s="241">
        <v>0</v>
      </c>
      <c r="J12" s="21"/>
    </row>
    <row r="13" spans="1:10" s="2" customFormat="1" ht="18.75" x14ac:dyDescent="0.3">
      <c r="A13" s="22"/>
      <c r="B13" s="23" t="s">
        <v>350</v>
      </c>
      <c r="C13" s="24"/>
      <c r="D13" s="25"/>
      <c r="E13" s="25"/>
      <c r="F13" s="25"/>
      <c r="G13" s="26"/>
      <c r="H13" s="26"/>
      <c r="I13" s="26"/>
      <c r="J13" s="27"/>
    </row>
    <row r="14" spans="1:10" s="2" customFormat="1" ht="18.75" x14ac:dyDescent="0.3">
      <c r="A14" s="11"/>
      <c r="B14" s="28" t="s">
        <v>50</v>
      </c>
      <c r="C14" s="13"/>
      <c r="D14" s="14"/>
      <c r="E14" s="14"/>
      <c r="F14" s="14"/>
      <c r="G14" s="20"/>
      <c r="H14" s="20"/>
      <c r="I14" s="20"/>
      <c r="J14" s="10"/>
    </row>
    <row r="15" spans="1:10" s="2" customFormat="1" ht="18.75" x14ac:dyDescent="0.3">
      <c r="A15" s="11"/>
      <c r="B15" s="28" t="s">
        <v>13</v>
      </c>
      <c r="C15" s="13"/>
      <c r="D15" s="14"/>
      <c r="E15" s="14"/>
      <c r="F15" s="14"/>
      <c r="G15" s="14"/>
      <c r="H15" s="14"/>
      <c r="I15" s="14"/>
      <c r="J15" s="10"/>
    </row>
    <row r="16" spans="1:10" s="2" customFormat="1" ht="18.75" x14ac:dyDescent="0.3">
      <c r="A16" s="11">
        <v>3</v>
      </c>
      <c r="B16" s="12" t="s">
        <v>374</v>
      </c>
      <c r="C16" s="29">
        <v>1</v>
      </c>
      <c r="D16" s="14">
        <v>1</v>
      </c>
      <c r="E16" s="14">
        <v>1</v>
      </c>
      <c r="F16" s="14">
        <v>1</v>
      </c>
      <c r="G16" s="20">
        <v>0</v>
      </c>
      <c r="H16" s="20">
        <v>0</v>
      </c>
      <c r="I16" s="20">
        <v>0</v>
      </c>
      <c r="J16" s="10"/>
    </row>
    <row r="17" spans="1:10" s="2" customFormat="1" ht="18.75" x14ac:dyDescent="0.3">
      <c r="A17" s="30"/>
      <c r="B17" s="31" t="s">
        <v>375</v>
      </c>
      <c r="C17" s="32"/>
      <c r="D17" s="33"/>
      <c r="E17" s="33"/>
      <c r="F17" s="33"/>
      <c r="G17" s="15"/>
      <c r="H17" s="15"/>
      <c r="I17" s="15"/>
      <c r="J17" s="34"/>
    </row>
    <row r="18" spans="1:10" s="2" customFormat="1" ht="18.75" x14ac:dyDescent="0.3">
      <c r="A18" s="35">
        <v>4</v>
      </c>
      <c r="B18" s="36" t="s">
        <v>182</v>
      </c>
      <c r="C18" s="37">
        <v>1</v>
      </c>
      <c r="D18" s="38">
        <v>1</v>
      </c>
      <c r="E18" s="38">
        <v>1</v>
      </c>
      <c r="F18" s="38">
        <v>1</v>
      </c>
      <c r="G18" s="56">
        <v>0</v>
      </c>
      <c r="H18" s="56">
        <v>0</v>
      </c>
      <c r="I18" s="56">
        <v>0</v>
      </c>
      <c r="J18" s="39"/>
    </row>
    <row r="19" spans="1:10" s="2" customFormat="1" ht="18.75" x14ac:dyDescent="0.3">
      <c r="A19" s="35">
        <v>5</v>
      </c>
      <c r="B19" s="36" t="s">
        <v>180</v>
      </c>
      <c r="C19" s="37">
        <v>1</v>
      </c>
      <c r="D19" s="38">
        <v>1</v>
      </c>
      <c r="E19" s="38">
        <v>1</v>
      </c>
      <c r="F19" s="38">
        <v>1</v>
      </c>
      <c r="G19" s="15">
        <v>0</v>
      </c>
      <c r="H19" s="15">
        <v>0</v>
      </c>
      <c r="I19" s="15">
        <v>0</v>
      </c>
      <c r="J19" s="39"/>
    </row>
    <row r="20" spans="1:10" s="2" customFormat="1" ht="18.75" x14ac:dyDescent="0.3">
      <c r="A20" s="35">
        <v>6</v>
      </c>
      <c r="B20" s="36" t="s">
        <v>175</v>
      </c>
      <c r="C20" s="37">
        <v>1</v>
      </c>
      <c r="D20" s="38">
        <v>1</v>
      </c>
      <c r="E20" s="38">
        <v>1</v>
      </c>
      <c r="F20" s="38">
        <v>1</v>
      </c>
      <c r="G20" s="15">
        <v>0</v>
      </c>
      <c r="H20" s="15">
        <v>0</v>
      </c>
      <c r="I20" s="15">
        <v>0</v>
      </c>
      <c r="J20" s="39"/>
    </row>
    <row r="21" spans="1:10" s="2" customFormat="1" ht="18.75" x14ac:dyDescent="0.3">
      <c r="A21" s="35">
        <v>7</v>
      </c>
      <c r="B21" s="36">
        <v>0</v>
      </c>
      <c r="C21" s="37">
        <v>1</v>
      </c>
      <c r="D21" s="38">
        <v>1</v>
      </c>
      <c r="E21" s="38">
        <v>1</v>
      </c>
      <c r="F21" s="38">
        <v>1</v>
      </c>
      <c r="G21" s="15">
        <v>0</v>
      </c>
      <c r="H21" s="15">
        <v>0</v>
      </c>
      <c r="I21" s="15">
        <v>0</v>
      </c>
      <c r="J21" s="39"/>
    </row>
    <row r="22" spans="1:10" s="2" customFormat="1" ht="18.75" x14ac:dyDescent="0.3">
      <c r="A22" s="35">
        <v>8</v>
      </c>
      <c r="B22" s="36" t="s">
        <v>179</v>
      </c>
      <c r="C22" s="40">
        <v>1</v>
      </c>
      <c r="D22" s="38">
        <v>1</v>
      </c>
      <c r="E22" s="38">
        <v>1</v>
      </c>
      <c r="F22" s="38">
        <v>1</v>
      </c>
      <c r="G22" s="15">
        <v>0</v>
      </c>
      <c r="H22" s="15">
        <v>0</v>
      </c>
      <c r="I22" s="15">
        <v>0</v>
      </c>
      <c r="J22" s="39"/>
    </row>
    <row r="23" spans="1:10" s="2" customFormat="1" ht="18.75" x14ac:dyDescent="0.3">
      <c r="A23" s="35">
        <v>9</v>
      </c>
      <c r="B23" s="36" t="s">
        <v>181</v>
      </c>
      <c r="C23" s="40">
        <v>1</v>
      </c>
      <c r="D23" s="38">
        <v>1</v>
      </c>
      <c r="E23" s="38">
        <v>1</v>
      </c>
      <c r="F23" s="38">
        <v>1</v>
      </c>
      <c r="G23" s="15">
        <v>0</v>
      </c>
      <c r="H23" s="15">
        <v>0</v>
      </c>
      <c r="I23" s="15">
        <v>0</v>
      </c>
      <c r="J23" s="39"/>
    </row>
    <row r="24" spans="1:10" s="2" customFormat="1" ht="18.75" x14ac:dyDescent="0.3">
      <c r="A24" s="35">
        <v>10</v>
      </c>
      <c r="B24" s="312" t="s">
        <v>183</v>
      </c>
      <c r="C24" s="40">
        <v>1</v>
      </c>
      <c r="D24" s="38">
        <v>1</v>
      </c>
      <c r="E24" s="38">
        <v>1</v>
      </c>
      <c r="F24" s="38">
        <v>1</v>
      </c>
      <c r="G24" s="56">
        <v>0</v>
      </c>
      <c r="H24" s="56">
        <v>0</v>
      </c>
      <c r="I24" s="56">
        <v>0</v>
      </c>
      <c r="J24" s="39"/>
    </row>
    <row r="25" spans="1:10" s="2" customFormat="1" ht="18.75" x14ac:dyDescent="0.3">
      <c r="A25" s="35">
        <v>11</v>
      </c>
      <c r="B25" s="36" t="s">
        <v>364</v>
      </c>
      <c r="C25" s="37">
        <v>1</v>
      </c>
      <c r="D25" s="38">
        <v>1</v>
      </c>
      <c r="E25" s="38">
        <v>1</v>
      </c>
      <c r="F25" s="38">
        <v>1</v>
      </c>
      <c r="G25" s="56">
        <v>0</v>
      </c>
      <c r="H25" s="56">
        <v>0</v>
      </c>
      <c r="I25" s="56">
        <v>0</v>
      </c>
      <c r="J25" s="39"/>
    </row>
    <row r="26" spans="1:10" s="2" customFormat="1" ht="18.75" x14ac:dyDescent="0.3">
      <c r="A26" s="35">
        <v>12</v>
      </c>
      <c r="B26" s="41" t="s">
        <v>15</v>
      </c>
      <c r="C26" s="37">
        <v>1</v>
      </c>
      <c r="D26" s="38">
        <v>1</v>
      </c>
      <c r="E26" s="38">
        <v>1</v>
      </c>
      <c r="F26" s="38">
        <v>1</v>
      </c>
      <c r="G26" s="15">
        <v>0</v>
      </c>
      <c r="H26" s="15">
        <v>0</v>
      </c>
      <c r="I26" s="15">
        <v>0</v>
      </c>
      <c r="J26" s="39" t="s">
        <v>161</v>
      </c>
    </row>
    <row r="27" spans="1:10" s="2" customFormat="1" ht="18.75" x14ac:dyDescent="0.3">
      <c r="A27" s="11"/>
      <c r="B27" s="240" t="s">
        <v>176</v>
      </c>
      <c r="C27" s="29"/>
      <c r="D27" s="14"/>
      <c r="E27" s="14"/>
      <c r="F27" s="14"/>
      <c r="G27" s="14"/>
      <c r="H27" s="14"/>
      <c r="I27" s="14"/>
      <c r="J27" s="10"/>
    </row>
    <row r="28" spans="1:10" s="2" customFormat="1" ht="18.75" x14ac:dyDescent="0.3">
      <c r="A28" s="30">
        <v>13</v>
      </c>
      <c r="B28" s="31" t="s">
        <v>162</v>
      </c>
      <c r="C28" s="43">
        <v>1</v>
      </c>
      <c r="D28" s="44">
        <v>1</v>
      </c>
      <c r="E28" s="44">
        <v>1</v>
      </c>
      <c r="F28" s="44">
        <v>1</v>
      </c>
      <c r="G28" s="55">
        <v>0</v>
      </c>
      <c r="H28" s="55">
        <v>0</v>
      </c>
      <c r="I28" s="55">
        <v>0</v>
      </c>
      <c r="J28" s="34"/>
    </row>
    <row r="29" spans="1:10" s="2" customFormat="1" ht="18.75" x14ac:dyDescent="0.3">
      <c r="A29" s="35">
        <v>14</v>
      </c>
      <c r="B29" s="36" t="s">
        <v>185</v>
      </c>
      <c r="C29" s="46">
        <v>1</v>
      </c>
      <c r="D29" s="47">
        <v>1</v>
      </c>
      <c r="E29" s="47">
        <v>1</v>
      </c>
      <c r="F29" s="47">
        <v>1</v>
      </c>
      <c r="G29" s="56">
        <v>0</v>
      </c>
      <c r="H29" s="56">
        <v>0</v>
      </c>
      <c r="I29" s="56">
        <v>0</v>
      </c>
      <c r="J29" s="39"/>
    </row>
    <row r="30" spans="1:10" s="2" customFormat="1" ht="18.75" x14ac:dyDescent="0.3">
      <c r="A30" s="35">
        <v>15</v>
      </c>
      <c r="B30" s="36" t="s">
        <v>19</v>
      </c>
      <c r="C30" s="47">
        <v>1</v>
      </c>
      <c r="D30" s="47">
        <v>1</v>
      </c>
      <c r="E30" s="47">
        <v>1</v>
      </c>
      <c r="F30" s="47">
        <v>1</v>
      </c>
      <c r="G30" s="56">
        <v>0</v>
      </c>
      <c r="H30" s="56">
        <v>0</v>
      </c>
      <c r="I30" s="56">
        <v>0</v>
      </c>
      <c r="J30" s="39"/>
    </row>
    <row r="31" spans="1:10" s="2" customFormat="1" ht="18.75" x14ac:dyDescent="0.3">
      <c r="A31" s="35">
        <v>16</v>
      </c>
      <c r="B31" s="41" t="s">
        <v>165</v>
      </c>
      <c r="C31" s="47">
        <v>1</v>
      </c>
      <c r="D31" s="47">
        <v>1</v>
      </c>
      <c r="E31" s="47">
        <v>1</v>
      </c>
      <c r="F31" s="47">
        <v>1</v>
      </c>
      <c r="G31" s="56">
        <v>0</v>
      </c>
      <c r="H31" s="56">
        <v>0</v>
      </c>
      <c r="I31" s="56">
        <v>0</v>
      </c>
      <c r="J31" s="39"/>
    </row>
    <row r="32" spans="1:10" s="2" customFormat="1" ht="18.75" x14ac:dyDescent="0.3">
      <c r="A32" s="48">
        <v>17</v>
      </c>
      <c r="B32" s="459" t="s">
        <v>166</v>
      </c>
      <c r="C32" s="217">
        <v>1</v>
      </c>
      <c r="D32" s="217">
        <v>1</v>
      </c>
      <c r="E32" s="217">
        <v>1</v>
      </c>
      <c r="F32" s="217">
        <v>1</v>
      </c>
      <c r="G32" s="65">
        <v>0</v>
      </c>
      <c r="H32" s="65">
        <v>0</v>
      </c>
      <c r="I32" s="65">
        <v>0</v>
      </c>
      <c r="J32" s="50"/>
    </row>
    <row r="33" spans="1:10" s="2" customFormat="1" ht="18.75" x14ac:dyDescent="0.3">
      <c r="A33" s="11"/>
      <c r="B33" s="28" t="s">
        <v>178</v>
      </c>
      <c r="C33" s="57"/>
      <c r="D33" s="58"/>
      <c r="E33" s="58"/>
      <c r="F33" s="58"/>
      <c r="G33" s="58"/>
      <c r="H33" s="58"/>
      <c r="I33" s="58"/>
      <c r="J33" s="10"/>
    </row>
    <row r="34" spans="1:10" s="2" customFormat="1" ht="18.75" x14ac:dyDescent="0.3">
      <c r="A34" s="30">
        <v>18</v>
      </c>
      <c r="B34" s="59" t="s">
        <v>20</v>
      </c>
      <c r="C34" s="43">
        <v>1</v>
      </c>
      <c r="D34" s="44">
        <v>1</v>
      </c>
      <c r="E34" s="44">
        <v>1</v>
      </c>
      <c r="F34" s="44">
        <v>1</v>
      </c>
      <c r="G34" s="55">
        <v>0</v>
      </c>
      <c r="H34" s="55">
        <v>0</v>
      </c>
      <c r="I34" s="55">
        <v>0</v>
      </c>
      <c r="J34" s="34"/>
    </row>
    <row r="35" spans="1:10" s="2" customFormat="1" ht="18.75" x14ac:dyDescent="0.3">
      <c r="A35" s="16">
        <v>19</v>
      </c>
      <c r="B35" s="467" t="s">
        <v>20</v>
      </c>
      <c r="C35" s="18">
        <v>1</v>
      </c>
      <c r="D35" s="19">
        <v>1</v>
      </c>
      <c r="E35" s="19">
        <v>1</v>
      </c>
      <c r="F35" s="19">
        <v>1</v>
      </c>
      <c r="G35" s="241">
        <v>0</v>
      </c>
      <c r="H35" s="241">
        <v>0</v>
      </c>
      <c r="I35" s="241">
        <v>0</v>
      </c>
      <c r="J35" s="21"/>
    </row>
    <row r="36" spans="1:10" s="2" customFormat="1" ht="18.75" x14ac:dyDescent="0.3">
      <c r="A36" s="458"/>
      <c r="B36" s="468"/>
      <c r="C36" s="468"/>
      <c r="D36" s="468"/>
      <c r="E36" s="468"/>
      <c r="F36" s="468"/>
      <c r="G36" s="468"/>
      <c r="H36" s="468"/>
      <c r="I36" s="468"/>
      <c r="J36" s="469"/>
    </row>
    <row r="42" spans="1:10" s="2" customFormat="1" ht="18.75" x14ac:dyDescent="0.3">
      <c r="A42" s="51"/>
      <c r="B42" s="52"/>
      <c r="C42" s="180"/>
      <c r="D42" s="67"/>
      <c r="E42" s="67"/>
      <c r="F42" s="67"/>
      <c r="G42" s="177"/>
      <c r="H42" s="177"/>
      <c r="I42" s="177"/>
      <c r="J42" s="53"/>
    </row>
    <row r="43" spans="1:10" s="2" customFormat="1" ht="18.75" x14ac:dyDescent="0.3">
      <c r="A43" s="51"/>
      <c r="B43" s="52"/>
      <c r="C43" s="180"/>
      <c r="D43" s="67"/>
      <c r="E43" s="67"/>
      <c r="F43" s="67"/>
      <c r="G43" s="177"/>
      <c r="H43" s="177"/>
      <c r="I43" s="177"/>
      <c r="J43" s="53"/>
    </row>
    <row r="44" spans="1:10" s="2" customFormat="1" ht="18.75" x14ac:dyDescent="0.3">
      <c r="A44" s="51"/>
      <c r="B44" s="52"/>
      <c r="C44" s="180"/>
      <c r="D44" s="67"/>
      <c r="E44" s="67"/>
      <c r="F44" s="67"/>
      <c r="G44" s="177"/>
      <c r="H44" s="177"/>
      <c r="I44" s="177"/>
      <c r="J44" s="53"/>
    </row>
    <row r="45" spans="1:10" s="2" customFormat="1" ht="18.75" x14ac:dyDescent="0.3">
      <c r="A45" s="51"/>
      <c r="B45" s="52"/>
      <c r="C45" s="180"/>
      <c r="D45" s="67"/>
      <c r="E45" s="67"/>
      <c r="F45" s="67"/>
      <c r="G45" s="177"/>
      <c r="H45" s="177"/>
      <c r="I45" s="177"/>
      <c r="J45" s="53"/>
    </row>
    <row r="46" spans="1:10" s="2" customFormat="1" ht="18.75" x14ac:dyDescent="0.3">
      <c r="A46" s="51"/>
      <c r="B46" s="52"/>
      <c r="C46" s="180"/>
      <c r="D46" s="67"/>
      <c r="E46" s="67"/>
      <c r="F46" s="67"/>
      <c r="G46" s="177"/>
      <c r="H46" s="177"/>
      <c r="I46" s="177"/>
      <c r="J46" s="53"/>
    </row>
    <row r="47" spans="1:10" s="2" customFormat="1" ht="18.75" x14ac:dyDescent="0.3">
      <c r="A47" s="51"/>
      <c r="B47" s="52"/>
      <c r="C47" s="180"/>
      <c r="D47" s="67"/>
      <c r="E47" s="67"/>
      <c r="F47" s="67"/>
      <c r="G47" s="177"/>
      <c r="H47" s="177"/>
      <c r="I47" s="177"/>
      <c r="J47" s="53"/>
    </row>
    <row r="48" spans="1:10" s="2" customFormat="1" ht="18.75" x14ac:dyDescent="0.3">
      <c r="A48" s="51"/>
      <c r="B48" s="52"/>
      <c r="C48" s="180"/>
      <c r="D48" s="67"/>
      <c r="E48" s="67"/>
      <c r="F48" s="67"/>
      <c r="G48" s="177"/>
      <c r="H48" s="177"/>
      <c r="I48" s="177"/>
      <c r="J48" s="53"/>
    </row>
    <row r="49" spans="1:10" s="2" customFormat="1" ht="18.75" x14ac:dyDescent="0.3">
      <c r="A49" s="51"/>
      <c r="B49" s="52"/>
      <c r="C49" s="180"/>
      <c r="D49" s="67"/>
      <c r="E49" s="67"/>
      <c r="F49" s="67"/>
      <c r="G49" s="177"/>
      <c r="H49" s="177"/>
      <c r="I49" s="177"/>
      <c r="J49" s="53"/>
    </row>
    <row r="50" spans="1:10" s="2" customFormat="1" ht="18.75" x14ac:dyDescent="0.3">
      <c r="A50" s="51"/>
      <c r="B50" s="52"/>
      <c r="C50" s="180"/>
      <c r="D50" s="67"/>
      <c r="E50" s="67"/>
      <c r="F50" s="67"/>
      <c r="G50" s="177"/>
      <c r="H50" s="177"/>
      <c r="I50" s="177"/>
      <c r="J50" s="53"/>
    </row>
    <row r="51" spans="1:10" s="2" customFormat="1" ht="18.75" x14ac:dyDescent="0.3">
      <c r="A51" s="483" t="s">
        <v>1</v>
      </c>
      <c r="B51" s="483" t="s">
        <v>2</v>
      </c>
      <c r="C51" s="1" t="s">
        <v>3</v>
      </c>
      <c r="D51" s="486" t="s">
        <v>4</v>
      </c>
      <c r="E51" s="487"/>
      <c r="F51" s="488"/>
      <c r="G51" s="489" t="s">
        <v>5</v>
      </c>
      <c r="H51" s="490"/>
      <c r="I51" s="491"/>
      <c r="J51" s="492" t="s">
        <v>6</v>
      </c>
    </row>
    <row r="52" spans="1:10" s="2" customFormat="1" ht="18.75" x14ac:dyDescent="0.3">
      <c r="A52" s="484"/>
      <c r="B52" s="484"/>
      <c r="C52" s="3" t="s">
        <v>7</v>
      </c>
      <c r="D52" s="495" t="s">
        <v>8</v>
      </c>
      <c r="E52" s="496"/>
      <c r="F52" s="497"/>
      <c r="G52" s="495" t="s">
        <v>9</v>
      </c>
      <c r="H52" s="496"/>
      <c r="I52" s="497"/>
      <c r="J52" s="493"/>
    </row>
    <row r="53" spans="1:10" s="2" customFormat="1" ht="18.75" x14ac:dyDescent="0.3">
      <c r="A53" s="484"/>
      <c r="B53" s="484"/>
      <c r="C53" s="3" t="s">
        <v>10</v>
      </c>
      <c r="D53" s="8" t="s">
        <v>249</v>
      </c>
      <c r="E53" s="8" t="s">
        <v>250</v>
      </c>
      <c r="F53" s="8" t="s">
        <v>251</v>
      </c>
      <c r="G53" s="8" t="s">
        <v>249</v>
      </c>
      <c r="H53" s="8" t="s">
        <v>250</v>
      </c>
      <c r="I53" s="8" t="s">
        <v>251</v>
      </c>
      <c r="J53" s="493"/>
    </row>
    <row r="54" spans="1:10" s="2" customFormat="1" ht="18.75" x14ac:dyDescent="0.3">
      <c r="A54" s="5"/>
      <c r="B54" s="317" t="s">
        <v>177</v>
      </c>
      <c r="C54" s="318"/>
      <c r="D54" s="319"/>
      <c r="E54" s="319"/>
      <c r="F54" s="319"/>
      <c r="G54" s="319"/>
      <c r="H54" s="319"/>
      <c r="I54" s="319"/>
      <c r="J54" s="320"/>
    </row>
    <row r="55" spans="1:10" s="2" customFormat="1" ht="18.75" x14ac:dyDescent="0.3">
      <c r="A55" s="11">
        <v>20</v>
      </c>
      <c r="B55" s="12" t="s">
        <v>22</v>
      </c>
      <c r="C55" s="13">
        <v>1</v>
      </c>
      <c r="D55" s="14">
        <v>1</v>
      </c>
      <c r="E55" s="14">
        <v>1</v>
      </c>
      <c r="F55" s="14">
        <v>1</v>
      </c>
      <c r="G55" s="15">
        <v>0</v>
      </c>
      <c r="H55" s="15">
        <v>0</v>
      </c>
      <c r="I55" s="15">
        <v>0</v>
      </c>
      <c r="J55" s="10"/>
    </row>
    <row r="56" spans="1:10" s="2" customFormat="1" ht="18.75" x14ac:dyDescent="0.3">
      <c r="A56" s="35">
        <v>21</v>
      </c>
      <c r="B56" s="36" t="s">
        <v>23</v>
      </c>
      <c r="C56" s="37">
        <v>1</v>
      </c>
      <c r="D56" s="38">
        <v>1</v>
      </c>
      <c r="E56" s="38">
        <v>1</v>
      </c>
      <c r="F56" s="38">
        <v>1</v>
      </c>
      <c r="G56" s="42">
        <v>0</v>
      </c>
      <c r="H56" s="42">
        <v>0</v>
      </c>
      <c r="I56" s="42">
        <v>0</v>
      </c>
      <c r="J56" s="39"/>
    </row>
    <row r="57" spans="1:10" s="2" customFormat="1" ht="19.5" thickBot="1" x14ac:dyDescent="0.35">
      <c r="A57" s="363">
        <v>22</v>
      </c>
      <c r="B57" s="364" t="s">
        <v>303</v>
      </c>
      <c r="C57" s="365">
        <v>1</v>
      </c>
      <c r="D57" s="366">
        <v>1</v>
      </c>
      <c r="E57" s="366">
        <v>1</v>
      </c>
      <c r="F57" s="366">
        <v>1</v>
      </c>
      <c r="G57" s="367">
        <v>0</v>
      </c>
      <c r="H57" s="367">
        <v>0</v>
      </c>
      <c r="I57" s="367">
        <v>0</v>
      </c>
      <c r="J57" s="368"/>
    </row>
    <row r="58" spans="1:10" s="2" customFormat="1" ht="18.75" x14ac:dyDescent="0.3">
      <c r="A58" s="11"/>
      <c r="B58" s="28" t="s">
        <v>24</v>
      </c>
      <c r="C58" s="29"/>
      <c r="D58" s="14"/>
      <c r="E58" s="14"/>
      <c r="F58" s="14"/>
      <c r="G58" s="14"/>
      <c r="H58" s="14"/>
      <c r="I58" s="14"/>
      <c r="J58" s="10"/>
    </row>
    <row r="59" spans="1:10" s="2" customFormat="1" ht="18.75" x14ac:dyDescent="0.3">
      <c r="A59" s="11"/>
      <c r="B59" s="28" t="s">
        <v>50</v>
      </c>
      <c r="C59" s="29"/>
      <c r="D59" s="14"/>
      <c r="E59" s="14"/>
      <c r="F59" s="14"/>
      <c r="G59" s="14"/>
      <c r="H59" s="14"/>
      <c r="I59" s="14"/>
      <c r="J59" s="10"/>
    </row>
    <row r="60" spans="1:10" s="2" customFormat="1" ht="18.75" x14ac:dyDescent="0.3">
      <c r="A60" s="11">
        <v>23</v>
      </c>
      <c r="B60" s="12" t="s">
        <v>353</v>
      </c>
      <c r="C60" s="13">
        <v>1</v>
      </c>
      <c r="D60" s="14">
        <v>1</v>
      </c>
      <c r="E60" s="14">
        <v>1</v>
      </c>
      <c r="F60" s="14">
        <v>1</v>
      </c>
      <c r="G60" s="20">
        <v>0</v>
      </c>
      <c r="H60" s="20">
        <v>0</v>
      </c>
      <c r="I60" s="20">
        <v>0</v>
      </c>
      <c r="J60" s="10"/>
    </row>
    <row r="61" spans="1:10" s="2" customFormat="1" ht="18.75" x14ac:dyDescent="0.3">
      <c r="A61" s="35"/>
      <c r="B61" s="36" t="s">
        <v>352</v>
      </c>
      <c r="C61" s="37"/>
      <c r="D61" s="38"/>
      <c r="E61" s="38"/>
      <c r="F61" s="38"/>
      <c r="G61" s="42"/>
      <c r="H61" s="42"/>
      <c r="I61" s="42"/>
      <c r="J61" s="39"/>
    </row>
    <row r="62" spans="1:10" s="2" customFormat="1" ht="18.75" x14ac:dyDescent="0.3">
      <c r="A62" s="35">
        <v>24</v>
      </c>
      <c r="B62" s="36" t="s">
        <v>193</v>
      </c>
      <c r="C62" s="40">
        <v>1</v>
      </c>
      <c r="D62" s="38">
        <v>1</v>
      </c>
      <c r="E62" s="38">
        <v>1</v>
      </c>
      <c r="F62" s="38">
        <v>1</v>
      </c>
      <c r="G62" s="42">
        <v>0</v>
      </c>
      <c r="H62" s="42">
        <v>0</v>
      </c>
      <c r="I62" s="42">
        <v>0</v>
      </c>
      <c r="J62" s="39"/>
    </row>
    <row r="63" spans="1:10" s="2" customFormat="1" ht="18.75" x14ac:dyDescent="0.3">
      <c r="A63" s="16">
        <v>25</v>
      </c>
      <c r="B63" s="17" t="s">
        <v>365</v>
      </c>
      <c r="C63" s="63">
        <v>1</v>
      </c>
      <c r="D63" s="19">
        <v>1</v>
      </c>
      <c r="E63" s="19">
        <v>1</v>
      </c>
      <c r="F63" s="19">
        <v>1</v>
      </c>
      <c r="G63" s="179">
        <v>0</v>
      </c>
      <c r="H63" s="179">
        <v>0</v>
      </c>
      <c r="I63" s="179">
        <v>0</v>
      </c>
      <c r="J63" s="39" t="s">
        <v>161</v>
      </c>
    </row>
    <row r="64" spans="1:10" s="2" customFormat="1" ht="18.75" x14ac:dyDescent="0.3">
      <c r="A64" s="35">
        <v>26</v>
      </c>
      <c r="B64" s="36" t="s">
        <v>194</v>
      </c>
      <c r="C64" s="40">
        <v>1</v>
      </c>
      <c r="D64" s="38">
        <v>1</v>
      </c>
      <c r="E64" s="38">
        <v>1</v>
      </c>
      <c r="F64" s="38">
        <v>1</v>
      </c>
      <c r="G64" s="42">
        <v>0</v>
      </c>
      <c r="H64" s="42">
        <v>0</v>
      </c>
      <c r="I64" s="42">
        <v>0</v>
      </c>
      <c r="J64" s="39"/>
    </row>
    <row r="65" spans="1:10" s="2" customFormat="1" ht="18.75" x14ac:dyDescent="0.3">
      <c r="A65" s="35">
        <v>27</v>
      </c>
      <c r="B65" s="36" t="s">
        <v>194</v>
      </c>
      <c r="C65" s="40">
        <v>1</v>
      </c>
      <c r="D65" s="38">
        <v>1</v>
      </c>
      <c r="E65" s="38">
        <v>1</v>
      </c>
      <c r="F65" s="38">
        <v>1</v>
      </c>
      <c r="G65" s="42">
        <v>0</v>
      </c>
      <c r="H65" s="42">
        <v>0</v>
      </c>
      <c r="I65" s="42">
        <v>0</v>
      </c>
      <c r="J65" s="39" t="s">
        <v>161</v>
      </c>
    </row>
    <row r="66" spans="1:10" s="2" customFormat="1" ht="18.75" x14ac:dyDescent="0.3">
      <c r="A66" s="35">
        <v>28</v>
      </c>
      <c r="B66" s="36" t="s">
        <v>366</v>
      </c>
      <c r="C66" s="40">
        <v>1</v>
      </c>
      <c r="D66" s="38">
        <v>1</v>
      </c>
      <c r="E66" s="38">
        <v>1</v>
      </c>
      <c r="F66" s="38">
        <v>1</v>
      </c>
      <c r="G66" s="42">
        <v>0</v>
      </c>
      <c r="H66" s="42">
        <v>0</v>
      </c>
      <c r="I66" s="42">
        <v>0</v>
      </c>
      <c r="J66" s="39" t="s">
        <v>161</v>
      </c>
    </row>
    <row r="67" spans="1:10" s="2" customFormat="1" ht="18.75" x14ac:dyDescent="0.3">
      <c r="A67" s="35">
        <v>29</v>
      </c>
      <c r="B67" s="36" t="s">
        <v>195</v>
      </c>
      <c r="C67" s="40">
        <v>1</v>
      </c>
      <c r="D67" s="38">
        <v>1</v>
      </c>
      <c r="E67" s="38">
        <v>1</v>
      </c>
      <c r="F67" s="38">
        <v>1</v>
      </c>
      <c r="G67" s="42">
        <v>0</v>
      </c>
      <c r="H67" s="42">
        <v>0</v>
      </c>
      <c r="I67" s="42">
        <v>0</v>
      </c>
      <c r="J67" s="39"/>
    </row>
    <row r="68" spans="1:10" s="2" customFormat="1" ht="18.75" x14ac:dyDescent="0.3">
      <c r="A68" s="16"/>
      <c r="B68" s="258" t="s">
        <v>26</v>
      </c>
      <c r="C68" s="29"/>
      <c r="D68" s="14"/>
      <c r="E68" s="14"/>
      <c r="F68" s="14"/>
      <c r="G68" s="69"/>
      <c r="H68" s="68"/>
      <c r="I68" s="68"/>
      <c r="J68" s="10"/>
    </row>
    <row r="69" spans="1:10" s="2" customFormat="1" ht="18.75" x14ac:dyDescent="0.3">
      <c r="A69" s="30">
        <v>30</v>
      </c>
      <c r="B69" s="31" t="s">
        <v>196</v>
      </c>
      <c r="C69" s="29">
        <v>1</v>
      </c>
      <c r="D69" s="14">
        <v>1</v>
      </c>
      <c r="E69" s="14">
        <v>1</v>
      </c>
      <c r="F69" s="14">
        <v>1</v>
      </c>
      <c r="G69" s="20">
        <v>0</v>
      </c>
      <c r="H69" s="20">
        <v>0</v>
      </c>
      <c r="I69" s="20">
        <v>0</v>
      </c>
      <c r="J69" s="10" t="s">
        <v>354</v>
      </c>
    </row>
    <row r="70" spans="1:10" s="2" customFormat="1" ht="18.75" x14ac:dyDescent="0.3">
      <c r="A70" s="11"/>
      <c r="B70" s="240" t="s">
        <v>176</v>
      </c>
      <c r="C70" s="63"/>
      <c r="D70" s="19"/>
      <c r="E70" s="19"/>
      <c r="F70" s="19"/>
      <c r="G70" s="70"/>
      <c r="H70" s="64"/>
      <c r="I70" s="64"/>
      <c r="J70" s="21"/>
    </row>
    <row r="71" spans="1:10" s="2" customFormat="1" ht="18.75" x14ac:dyDescent="0.3">
      <c r="A71" s="30">
        <v>31</v>
      </c>
      <c r="B71" s="31" t="s">
        <v>162</v>
      </c>
      <c r="C71" s="32">
        <v>1</v>
      </c>
      <c r="D71" s="33">
        <v>1</v>
      </c>
      <c r="E71" s="33">
        <v>1</v>
      </c>
      <c r="F71" s="33">
        <v>1</v>
      </c>
      <c r="G71" s="15">
        <v>0</v>
      </c>
      <c r="H71" s="15">
        <v>0</v>
      </c>
      <c r="I71" s="15">
        <v>0</v>
      </c>
      <c r="J71" s="34"/>
    </row>
    <row r="72" spans="1:10" s="2" customFormat="1" ht="19.5" thickBot="1" x14ac:dyDescent="0.35">
      <c r="A72" s="16">
        <v>32</v>
      </c>
      <c r="B72" s="17" t="s">
        <v>184</v>
      </c>
      <c r="C72" s="63">
        <v>1</v>
      </c>
      <c r="D72" s="19">
        <v>1</v>
      </c>
      <c r="E72" s="19">
        <v>1</v>
      </c>
      <c r="F72" s="19">
        <v>1</v>
      </c>
      <c r="G72" s="179">
        <v>0</v>
      </c>
      <c r="H72" s="179">
        <v>0</v>
      </c>
      <c r="I72" s="179">
        <v>0</v>
      </c>
      <c r="J72" s="21"/>
    </row>
    <row r="73" spans="1:10" s="2" customFormat="1" ht="18.75" x14ac:dyDescent="0.3">
      <c r="A73" s="370"/>
      <c r="B73" s="371" t="s">
        <v>27</v>
      </c>
      <c r="C73" s="372"/>
      <c r="D73" s="373"/>
      <c r="E73" s="373"/>
      <c r="F73" s="373"/>
      <c r="G73" s="373"/>
      <c r="H73" s="373"/>
      <c r="I73" s="373"/>
      <c r="J73" s="374"/>
    </row>
    <row r="74" spans="1:10" s="2" customFormat="1" ht="18.75" x14ac:dyDescent="0.3">
      <c r="A74" s="11"/>
      <c r="B74" s="28" t="s">
        <v>50</v>
      </c>
      <c r="C74" s="29"/>
      <c r="D74" s="14"/>
      <c r="E74" s="14"/>
      <c r="F74" s="14"/>
      <c r="G74" s="14"/>
      <c r="H74" s="14"/>
      <c r="I74" s="14"/>
      <c r="J74" s="10"/>
    </row>
    <row r="75" spans="1:10" s="2" customFormat="1" ht="18.75" x14ac:dyDescent="0.3">
      <c r="A75" s="11">
        <v>33</v>
      </c>
      <c r="B75" s="12" t="s">
        <v>356</v>
      </c>
      <c r="C75" s="13">
        <v>1</v>
      </c>
      <c r="D75" s="14">
        <v>1</v>
      </c>
      <c r="E75" s="14">
        <v>1</v>
      </c>
      <c r="F75" s="14">
        <v>1</v>
      </c>
      <c r="G75" s="20">
        <v>0</v>
      </c>
      <c r="H75" s="20">
        <v>0</v>
      </c>
      <c r="I75" s="20">
        <v>0</v>
      </c>
      <c r="J75" s="10"/>
    </row>
    <row r="76" spans="1:10" s="2" customFormat="1" ht="18.75" x14ac:dyDescent="0.3">
      <c r="A76" s="35"/>
      <c r="B76" s="36" t="s">
        <v>355</v>
      </c>
      <c r="C76" s="37"/>
      <c r="D76" s="38"/>
      <c r="E76" s="38"/>
      <c r="F76" s="38"/>
      <c r="G76" s="42"/>
      <c r="H76" s="42"/>
      <c r="I76" s="42"/>
      <c r="J76" s="39"/>
    </row>
    <row r="77" spans="1:10" s="2" customFormat="1" ht="18.75" x14ac:dyDescent="0.3">
      <c r="A77" s="35">
        <v>34</v>
      </c>
      <c r="B77" s="36" t="s">
        <v>186</v>
      </c>
      <c r="C77" s="40">
        <v>1</v>
      </c>
      <c r="D77" s="38">
        <v>1</v>
      </c>
      <c r="E77" s="38">
        <v>1</v>
      </c>
      <c r="F77" s="38">
        <v>1</v>
      </c>
      <c r="G77" s="42">
        <v>0</v>
      </c>
      <c r="H77" s="42">
        <v>0</v>
      </c>
      <c r="I77" s="42">
        <v>0</v>
      </c>
      <c r="J77" s="39"/>
    </row>
    <row r="78" spans="1:10" s="2" customFormat="1" ht="18.75" x14ac:dyDescent="0.3">
      <c r="A78" s="35">
        <v>35</v>
      </c>
      <c r="B78" s="36" t="s">
        <v>29</v>
      </c>
      <c r="C78" s="40">
        <v>1</v>
      </c>
      <c r="D78" s="38">
        <v>1</v>
      </c>
      <c r="E78" s="38">
        <v>1</v>
      </c>
      <c r="F78" s="38">
        <v>1</v>
      </c>
      <c r="G78" s="42">
        <v>0</v>
      </c>
      <c r="H78" s="42">
        <v>0</v>
      </c>
      <c r="I78" s="42">
        <v>0</v>
      </c>
      <c r="J78" s="39"/>
    </row>
    <row r="79" spans="1:10" s="2" customFormat="1" ht="18.75" x14ac:dyDescent="0.3">
      <c r="A79" s="16">
        <v>36</v>
      </c>
      <c r="B79" s="17" t="s">
        <v>29</v>
      </c>
      <c r="C79" s="63">
        <v>1</v>
      </c>
      <c r="D79" s="19">
        <v>1</v>
      </c>
      <c r="E79" s="19">
        <v>1</v>
      </c>
      <c r="F79" s="19">
        <v>1</v>
      </c>
      <c r="G79" s="179">
        <v>0</v>
      </c>
      <c r="H79" s="179">
        <v>0</v>
      </c>
      <c r="I79" s="179">
        <v>0</v>
      </c>
      <c r="J79" s="21"/>
    </row>
    <row r="80" spans="1:10" s="2" customFormat="1" ht="18.75" x14ac:dyDescent="0.3">
      <c r="A80" s="35">
        <v>37</v>
      </c>
      <c r="B80" s="36" t="s">
        <v>198</v>
      </c>
      <c r="C80" s="40">
        <v>1</v>
      </c>
      <c r="D80" s="38">
        <v>1</v>
      </c>
      <c r="E80" s="38">
        <v>1</v>
      </c>
      <c r="F80" s="38">
        <v>1</v>
      </c>
      <c r="G80" s="42">
        <v>0</v>
      </c>
      <c r="H80" s="42">
        <v>0</v>
      </c>
      <c r="I80" s="42">
        <v>0</v>
      </c>
      <c r="J80" s="39"/>
    </row>
    <row r="81" spans="1:10" s="2" customFormat="1" ht="18.75" x14ac:dyDescent="0.3">
      <c r="A81" s="48">
        <v>38</v>
      </c>
      <c r="B81" s="49" t="s">
        <v>197</v>
      </c>
      <c r="C81" s="369">
        <v>1</v>
      </c>
      <c r="D81" s="316">
        <v>1</v>
      </c>
      <c r="E81" s="316">
        <v>1</v>
      </c>
      <c r="F81" s="316">
        <v>1</v>
      </c>
      <c r="G81" s="65">
        <v>0</v>
      </c>
      <c r="H81" s="65">
        <v>0</v>
      </c>
      <c r="I81" s="65">
        <v>0</v>
      </c>
      <c r="J81" s="50" t="s">
        <v>161</v>
      </c>
    </row>
    <row r="82" spans="1:10" s="2" customFormat="1" ht="18.75" x14ac:dyDescent="0.3">
      <c r="A82" s="51"/>
      <c r="B82" s="52"/>
      <c r="C82" s="180"/>
      <c r="D82" s="67"/>
      <c r="E82" s="67"/>
      <c r="F82" s="67"/>
      <c r="G82" s="177"/>
      <c r="H82" s="177"/>
      <c r="I82" s="177"/>
      <c r="J82" s="53"/>
    </row>
    <row r="83" spans="1:10" s="2" customFormat="1" ht="18.75" x14ac:dyDescent="0.3">
      <c r="A83" s="51"/>
      <c r="B83" s="52"/>
      <c r="C83" s="180"/>
      <c r="D83" s="67"/>
      <c r="E83" s="67"/>
      <c r="F83" s="67"/>
      <c r="G83" s="177"/>
      <c r="H83" s="177"/>
      <c r="I83" s="177"/>
      <c r="J83" s="53"/>
    </row>
    <row r="84" spans="1:10" s="2" customFormat="1" ht="18.75" x14ac:dyDescent="0.3">
      <c r="A84" s="51"/>
      <c r="B84" s="52"/>
      <c r="C84" s="180"/>
      <c r="D84" s="67"/>
      <c r="E84" s="67"/>
      <c r="F84" s="67"/>
      <c r="G84" s="177"/>
      <c r="H84" s="177"/>
      <c r="I84" s="177"/>
      <c r="J84" s="53"/>
    </row>
    <row r="85" spans="1:10" s="2" customFormat="1" ht="18.75" x14ac:dyDescent="0.3">
      <c r="A85" s="51"/>
      <c r="B85" s="52"/>
      <c r="C85" s="180"/>
      <c r="D85" s="67"/>
      <c r="E85" s="67"/>
      <c r="F85" s="67"/>
      <c r="G85" s="177"/>
      <c r="H85" s="177"/>
      <c r="I85" s="177"/>
      <c r="J85" s="53"/>
    </row>
    <row r="86" spans="1:10" s="2" customFormat="1" ht="18.75" x14ac:dyDescent="0.3">
      <c r="A86" s="51"/>
      <c r="B86" s="52"/>
      <c r="C86" s="66"/>
      <c r="D86" s="67"/>
      <c r="E86" s="67"/>
      <c r="F86" s="67"/>
      <c r="G86" s="177"/>
      <c r="H86" s="177"/>
      <c r="I86" s="177"/>
      <c r="J86" s="53"/>
    </row>
    <row r="87" spans="1:10" s="2" customFormat="1" ht="18.75" x14ac:dyDescent="0.3">
      <c r="A87" s="51"/>
      <c r="B87" s="52"/>
      <c r="C87" s="66"/>
      <c r="D87" s="67"/>
      <c r="E87" s="67"/>
      <c r="F87" s="67"/>
      <c r="G87" s="177"/>
      <c r="H87" s="177"/>
      <c r="I87" s="177"/>
      <c r="J87" s="53"/>
    </row>
    <row r="88" spans="1:10" s="2" customFormat="1" ht="18.75" x14ac:dyDescent="0.3">
      <c r="A88" s="51"/>
      <c r="B88" s="52"/>
      <c r="C88" s="66"/>
      <c r="D88" s="67"/>
      <c r="E88" s="67"/>
      <c r="F88" s="67"/>
      <c r="G88" s="177"/>
      <c r="H88" s="177"/>
      <c r="I88" s="177"/>
      <c r="J88" s="53"/>
    </row>
    <row r="89" spans="1:10" s="2" customFormat="1" ht="18.75" x14ac:dyDescent="0.3">
      <c r="A89" s="51"/>
      <c r="B89" s="52"/>
      <c r="C89" s="66"/>
      <c r="D89" s="67"/>
      <c r="E89" s="67"/>
      <c r="F89" s="67"/>
      <c r="G89" s="177"/>
      <c r="H89" s="177"/>
      <c r="I89" s="177"/>
      <c r="J89" s="53"/>
    </row>
    <row r="90" spans="1:10" s="2" customFormat="1" ht="18.75" x14ac:dyDescent="0.3">
      <c r="A90" s="51"/>
      <c r="B90" s="52"/>
      <c r="C90" s="66"/>
      <c r="D90" s="67"/>
      <c r="E90" s="67"/>
      <c r="F90" s="67"/>
      <c r="G90" s="177"/>
      <c r="H90" s="177"/>
      <c r="I90" s="177"/>
      <c r="J90" s="53"/>
    </row>
    <row r="91" spans="1:10" s="2" customFormat="1" ht="18.75" x14ac:dyDescent="0.3">
      <c r="A91" s="51"/>
      <c r="B91" s="52"/>
      <c r="C91" s="66"/>
      <c r="D91" s="67"/>
      <c r="E91" s="67"/>
      <c r="F91" s="67"/>
      <c r="G91" s="177"/>
      <c r="H91" s="177"/>
      <c r="I91" s="177"/>
      <c r="J91" s="53"/>
    </row>
    <row r="92" spans="1:10" s="2" customFormat="1" ht="18.75" x14ac:dyDescent="0.3">
      <c r="A92" s="51"/>
      <c r="B92" s="52"/>
      <c r="C92" s="66"/>
      <c r="D92" s="67"/>
      <c r="E92" s="67"/>
      <c r="F92" s="67"/>
      <c r="G92" s="177"/>
      <c r="H92" s="177"/>
      <c r="I92" s="177"/>
      <c r="J92" s="53"/>
    </row>
    <row r="93" spans="1:10" s="2" customFormat="1" ht="18.75" x14ac:dyDescent="0.3">
      <c r="A93" s="483" t="s">
        <v>1</v>
      </c>
      <c r="B93" s="483" t="s">
        <v>2</v>
      </c>
      <c r="C93" s="1" t="s">
        <v>3</v>
      </c>
      <c r="D93" s="486" t="s">
        <v>4</v>
      </c>
      <c r="E93" s="487"/>
      <c r="F93" s="488"/>
      <c r="G93" s="489" t="s">
        <v>5</v>
      </c>
      <c r="H93" s="490"/>
      <c r="I93" s="491"/>
      <c r="J93" s="492" t="s">
        <v>6</v>
      </c>
    </row>
    <row r="94" spans="1:10" s="2" customFormat="1" ht="18.75" x14ac:dyDescent="0.3">
      <c r="A94" s="484"/>
      <c r="B94" s="484"/>
      <c r="C94" s="3" t="s">
        <v>7</v>
      </c>
      <c r="D94" s="495" t="s">
        <v>8</v>
      </c>
      <c r="E94" s="496"/>
      <c r="F94" s="497"/>
      <c r="G94" s="495" t="s">
        <v>9</v>
      </c>
      <c r="H94" s="496"/>
      <c r="I94" s="497"/>
      <c r="J94" s="493"/>
    </row>
    <row r="95" spans="1:10" s="2" customFormat="1" ht="18.75" x14ac:dyDescent="0.3">
      <c r="A95" s="485"/>
      <c r="B95" s="485"/>
      <c r="C95" s="4" t="s">
        <v>10</v>
      </c>
      <c r="D95" s="54" t="s">
        <v>249</v>
      </c>
      <c r="E95" s="54" t="s">
        <v>250</v>
      </c>
      <c r="F95" s="54" t="s">
        <v>251</v>
      </c>
      <c r="G95" s="54" t="s">
        <v>249</v>
      </c>
      <c r="H95" s="54" t="s">
        <v>250</v>
      </c>
      <c r="I95" s="54" t="s">
        <v>251</v>
      </c>
      <c r="J95" s="494"/>
    </row>
    <row r="96" spans="1:10" s="2" customFormat="1" ht="18.75" x14ac:dyDescent="0.3">
      <c r="A96" s="5"/>
      <c r="B96" s="375" t="s">
        <v>176</v>
      </c>
      <c r="C96" s="376"/>
      <c r="D96" s="8"/>
      <c r="E96" s="8"/>
      <c r="F96" s="8"/>
      <c r="G96" s="377"/>
      <c r="H96" s="378"/>
      <c r="I96" s="378"/>
      <c r="J96" s="320"/>
    </row>
    <row r="97" spans="1:18" s="2" customFormat="1" ht="18.75" x14ac:dyDescent="0.3">
      <c r="A97" s="30">
        <v>39</v>
      </c>
      <c r="B97" s="31" t="s">
        <v>164</v>
      </c>
      <c r="C97" s="32">
        <v>1</v>
      </c>
      <c r="D97" s="33">
        <v>1</v>
      </c>
      <c r="E97" s="33">
        <v>1</v>
      </c>
      <c r="F97" s="33">
        <v>1</v>
      </c>
      <c r="G97" s="15">
        <v>0</v>
      </c>
      <c r="H97" s="15">
        <v>0</v>
      </c>
      <c r="I97" s="15">
        <v>0</v>
      </c>
      <c r="J97" s="34"/>
    </row>
    <row r="98" spans="1:18" s="2" customFormat="1" ht="18.75" x14ac:dyDescent="0.3">
      <c r="A98" s="35">
        <v>40</v>
      </c>
      <c r="B98" s="36" t="s">
        <v>163</v>
      </c>
      <c r="C98" s="40">
        <v>1</v>
      </c>
      <c r="D98" s="38">
        <v>1</v>
      </c>
      <c r="E98" s="38">
        <v>1</v>
      </c>
      <c r="F98" s="38">
        <v>1</v>
      </c>
      <c r="G98" s="42">
        <v>0</v>
      </c>
      <c r="H98" s="42">
        <v>0</v>
      </c>
      <c r="I98" s="42">
        <v>0</v>
      </c>
      <c r="J98" s="39"/>
    </row>
    <row r="99" spans="1:18" s="2" customFormat="1" ht="18.75" x14ac:dyDescent="0.3">
      <c r="A99" s="35">
        <v>41</v>
      </c>
      <c r="B99" s="36" t="s">
        <v>172</v>
      </c>
      <c r="C99" s="40">
        <v>1</v>
      </c>
      <c r="D99" s="38">
        <v>1</v>
      </c>
      <c r="E99" s="38">
        <v>1</v>
      </c>
      <c r="F99" s="38">
        <v>1</v>
      </c>
      <c r="G99" s="42">
        <v>0</v>
      </c>
      <c r="H99" s="42">
        <v>0</v>
      </c>
      <c r="I99" s="42">
        <v>0</v>
      </c>
      <c r="J99" s="39"/>
    </row>
    <row r="100" spans="1:18" s="2" customFormat="1" ht="18.75" x14ac:dyDescent="0.3">
      <c r="A100" s="11"/>
      <c r="B100" s="240" t="s">
        <v>178</v>
      </c>
      <c r="C100" s="63"/>
      <c r="D100" s="19"/>
      <c r="E100" s="19"/>
      <c r="F100" s="19"/>
      <c r="G100" s="179"/>
      <c r="H100" s="179"/>
      <c r="I100" s="179"/>
      <c r="J100" s="21"/>
    </row>
    <row r="101" spans="1:18" s="2" customFormat="1" ht="18.75" x14ac:dyDescent="0.3">
      <c r="A101" s="11">
        <v>42</v>
      </c>
      <c r="B101" s="12" t="s">
        <v>30</v>
      </c>
      <c r="C101" s="29">
        <v>1</v>
      </c>
      <c r="D101" s="14">
        <v>1</v>
      </c>
      <c r="E101" s="14">
        <v>1</v>
      </c>
      <c r="F101" s="14">
        <v>1</v>
      </c>
      <c r="G101" s="20">
        <v>0</v>
      </c>
      <c r="H101" s="20">
        <v>0</v>
      </c>
      <c r="I101" s="20">
        <v>0</v>
      </c>
      <c r="J101" s="10"/>
    </row>
    <row r="102" spans="1:18" s="2" customFormat="1" ht="18.75" x14ac:dyDescent="0.3">
      <c r="A102" s="35">
        <v>43</v>
      </c>
      <c r="B102" s="36" t="s">
        <v>30</v>
      </c>
      <c r="C102" s="40">
        <v>1</v>
      </c>
      <c r="D102" s="38">
        <v>1</v>
      </c>
      <c r="E102" s="38">
        <v>1</v>
      </c>
      <c r="F102" s="38">
        <v>1</v>
      </c>
      <c r="G102" s="42">
        <v>0</v>
      </c>
      <c r="H102" s="42">
        <v>0</v>
      </c>
      <c r="I102" s="42">
        <v>0</v>
      </c>
      <c r="J102" s="39"/>
    </row>
    <row r="103" spans="1:18" s="2" customFormat="1" ht="18.75" x14ac:dyDescent="0.3">
      <c r="A103" s="35">
        <v>44</v>
      </c>
      <c r="B103" s="36" t="s">
        <v>22</v>
      </c>
      <c r="C103" s="37">
        <v>1</v>
      </c>
      <c r="D103" s="38">
        <v>1</v>
      </c>
      <c r="E103" s="38">
        <v>1</v>
      </c>
      <c r="F103" s="38">
        <v>1</v>
      </c>
      <c r="G103" s="42">
        <v>0</v>
      </c>
      <c r="H103" s="42">
        <v>0</v>
      </c>
      <c r="I103" s="42">
        <v>0</v>
      </c>
      <c r="J103" s="39"/>
    </row>
    <row r="104" spans="1:18" s="2" customFormat="1" ht="18.75" x14ac:dyDescent="0.3">
      <c r="A104" s="11"/>
      <c r="B104" s="28" t="s">
        <v>21</v>
      </c>
      <c r="C104" s="29"/>
      <c r="D104" s="14"/>
      <c r="E104" s="14"/>
      <c r="F104" s="14"/>
      <c r="G104" s="69"/>
      <c r="H104" s="60"/>
      <c r="I104" s="60"/>
      <c r="J104" s="10"/>
      <c r="R104" s="213"/>
    </row>
    <row r="105" spans="1:18" s="2" customFormat="1" ht="18.75" x14ac:dyDescent="0.3">
      <c r="A105" s="11">
        <v>45</v>
      </c>
      <c r="B105" s="31" t="s">
        <v>133</v>
      </c>
      <c r="C105" s="29">
        <v>1</v>
      </c>
      <c r="D105" s="14">
        <v>1</v>
      </c>
      <c r="E105" s="14">
        <v>1</v>
      </c>
      <c r="F105" s="14">
        <v>1</v>
      </c>
      <c r="G105" s="15">
        <v>0</v>
      </c>
      <c r="H105" s="15">
        <v>0</v>
      </c>
      <c r="I105" s="15">
        <v>0</v>
      </c>
      <c r="J105" s="10"/>
      <c r="R105" s="213"/>
    </row>
    <row r="106" spans="1:18" s="2" customFormat="1" ht="18.75" x14ac:dyDescent="0.3">
      <c r="A106" s="35">
        <v>46</v>
      </c>
      <c r="B106" s="12" t="s">
        <v>133</v>
      </c>
      <c r="C106" s="40">
        <v>1</v>
      </c>
      <c r="D106" s="38">
        <v>1</v>
      </c>
      <c r="E106" s="38">
        <v>1</v>
      </c>
      <c r="F106" s="38">
        <v>1</v>
      </c>
      <c r="G106" s="15">
        <v>0</v>
      </c>
      <c r="H106" s="15">
        <v>0</v>
      </c>
      <c r="I106" s="15">
        <v>0</v>
      </c>
      <c r="J106" s="39"/>
      <c r="O106" s="71"/>
      <c r="R106" s="213"/>
    </row>
    <row r="107" spans="1:18" s="2" customFormat="1" ht="20.25" customHeight="1" x14ac:dyDescent="0.3">
      <c r="A107" s="35">
        <v>47</v>
      </c>
      <c r="B107" s="36" t="s">
        <v>30</v>
      </c>
      <c r="C107" s="40">
        <v>1</v>
      </c>
      <c r="D107" s="38">
        <v>1</v>
      </c>
      <c r="E107" s="38">
        <v>1</v>
      </c>
      <c r="F107" s="38">
        <v>1</v>
      </c>
      <c r="G107" s="42">
        <v>0</v>
      </c>
      <c r="H107" s="42">
        <v>0</v>
      </c>
      <c r="I107" s="42">
        <v>0</v>
      </c>
      <c r="J107" s="39"/>
    </row>
    <row r="108" spans="1:18" s="2" customFormat="1" ht="20.25" customHeight="1" thickBot="1" x14ac:dyDescent="0.35">
      <c r="A108" s="16">
        <v>48</v>
      </c>
      <c r="B108" s="218" t="s">
        <v>30</v>
      </c>
      <c r="C108" s="63">
        <v>1</v>
      </c>
      <c r="D108" s="19">
        <v>1</v>
      </c>
      <c r="E108" s="19">
        <v>1</v>
      </c>
      <c r="F108" s="19">
        <v>1</v>
      </c>
      <c r="G108" s="179">
        <v>0</v>
      </c>
      <c r="H108" s="179">
        <v>0</v>
      </c>
      <c r="I108" s="179">
        <v>0</v>
      </c>
      <c r="J108" s="21"/>
    </row>
    <row r="109" spans="1:18" s="2" customFormat="1" ht="20.25" customHeight="1" x14ac:dyDescent="0.3">
      <c r="A109" s="370"/>
      <c r="B109" s="371" t="s">
        <v>159</v>
      </c>
      <c r="C109" s="372"/>
      <c r="D109" s="373"/>
      <c r="E109" s="373"/>
      <c r="F109" s="373"/>
      <c r="G109" s="373"/>
      <c r="H109" s="373"/>
      <c r="I109" s="373"/>
      <c r="J109" s="374"/>
    </row>
    <row r="110" spans="1:18" s="2" customFormat="1" ht="20.25" customHeight="1" x14ac:dyDescent="0.3">
      <c r="A110" s="11"/>
      <c r="B110" s="28" t="s">
        <v>50</v>
      </c>
      <c r="C110" s="29"/>
      <c r="D110" s="14"/>
      <c r="E110" s="14"/>
      <c r="F110" s="14"/>
      <c r="G110" s="14"/>
      <c r="H110" s="14"/>
      <c r="I110" s="14"/>
      <c r="J110" s="10"/>
    </row>
    <row r="111" spans="1:18" s="2" customFormat="1" ht="20.25" customHeight="1" x14ac:dyDescent="0.3">
      <c r="A111" s="11">
        <v>49</v>
      </c>
      <c r="B111" s="176" t="s">
        <v>358</v>
      </c>
      <c r="C111" s="29">
        <v>1</v>
      </c>
      <c r="D111" s="14">
        <v>1</v>
      </c>
      <c r="E111" s="14">
        <v>1</v>
      </c>
      <c r="F111" s="14">
        <v>1</v>
      </c>
      <c r="G111" s="20" t="s">
        <v>80</v>
      </c>
      <c r="H111" s="20" t="s">
        <v>80</v>
      </c>
      <c r="I111" s="20" t="s">
        <v>80</v>
      </c>
      <c r="J111" s="10"/>
    </row>
    <row r="112" spans="1:18" s="2" customFormat="1" ht="20.25" customHeight="1" x14ac:dyDescent="0.3">
      <c r="A112" s="30"/>
      <c r="B112" s="176" t="s">
        <v>357</v>
      </c>
      <c r="C112" s="29"/>
      <c r="D112" s="14"/>
      <c r="E112" s="14"/>
      <c r="F112" s="14"/>
      <c r="G112" s="20"/>
      <c r="H112" s="20"/>
      <c r="I112" s="20"/>
      <c r="J112" s="10"/>
    </row>
    <row r="113" spans="1:10" s="2" customFormat="1" ht="20.25" customHeight="1" x14ac:dyDescent="0.3">
      <c r="A113" s="35">
        <v>50</v>
      </c>
      <c r="B113" s="178" t="s">
        <v>187</v>
      </c>
      <c r="C113" s="37">
        <v>1</v>
      </c>
      <c r="D113" s="38">
        <v>1</v>
      </c>
      <c r="E113" s="38">
        <v>1</v>
      </c>
      <c r="F113" s="38">
        <v>1</v>
      </c>
      <c r="G113" s="42">
        <v>0</v>
      </c>
      <c r="H113" s="42">
        <v>0</v>
      </c>
      <c r="I113" s="42">
        <v>0</v>
      </c>
      <c r="J113" s="39"/>
    </row>
    <row r="114" spans="1:10" s="2" customFormat="1" ht="29.25" customHeight="1" x14ac:dyDescent="0.3">
      <c r="A114" s="35">
        <v>51</v>
      </c>
      <c r="B114" s="36" t="s">
        <v>465</v>
      </c>
      <c r="C114" s="42">
        <v>0</v>
      </c>
      <c r="D114" s="38">
        <v>1</v>
      </c>
      <c r="E114" s="38">
        <v>1</v>
      </c>
      <c r="F114" s="38">
        <v>1</v>
      </c>
      <c r="G114" s="42" t="s">
        <v>212</v>
      </c>
      <c r="H114" s="42">
        <v>0</v>
      </c>
      <c r="I114" s="42">
        <v>0</v>
      </c>
      <c r="J114" s="39"/>
    </row>
    <row r="115" spans="1:10" s="2" customFormat="1" ht="20.25" customHeight="1" x14ac:dyDescent="0.3">
      <c r="A115" s="11"/>
      <c r="B115" s="240" t="s">
        <v>176</v>
      </c>
      <c r="C115" s="29"/>
      <c r="D115" s="14"/>
      <c r="E115" s="14"/>
      <c r="F115" s="14"/>
      <c r="G115" s="20"/>
      <c r="H115" s="20"/>
      <c r="I115" s="20"/>
      <c r="J115" s="10"/>
    </row>
    <row r="116" spans="1:10" s="2" customFormat="1" ht="20.25" customHeight="1" x14ac:dyDescent="0.3">
      <c r="A116" s="30">
        <v>51</v>
      </c>
      <c r="B116" s="31" t="s">
        <v>18</v>
      </c>
      <c r="C116" s="43">
        <v>1</v>
      </c>
      <c r="D116" s="44">
        <v>1</v>
      </c>
      <c r="E116" s="44">
        <v>1</v>
      </c>
      <c r="F116" s="44">
        <v>1</v>
      </c>
      <c r="G116" s="55">
        <v>0</v>
      </c>
      <c r="H116" s="55">
        <v>0</v>
      </c>
      <c r="I116" s="55">
        <v>0</v>
      </c>
      <c r="J116" s="34"/>
    </row>
    <row r="117" spans="1:10" s="2" customFormat="1" ht="20.25" customHeight="1" x14ac:dyDescent="0.3">
      <c r="A117" s="16"/>
      <c r="B117" s="62" t="s">
        <v>340</v>
      </c>
      <c r="C117" s="63"/>
      <c r="D117" s="19"/>
      <c r="E117" s="19"/>
      <c r="F117" s="19"/>
      <c r="G117" s="179"/>
      <c r="H117" s="179"/>
      <c r="I117" s="179"/>
      <c r="J117" s="21"/>
    </row>
    <row r="118" spans="1:10" s="2" customFormat="1" ht="20.25" customHeight="1" x14ac:dyDescent="0.3">
      <c r="A118" s="30">
        <v>52</v>
      </c>
      <c r="B118" s="31" t="s">
        <v>370</v>
      </c>
      <c r="C118" s="61">
        <v>2</v>
      </c>
      <c r="D118" s="33">
        <v>2</v>
      </c>
      <c r="E118" s="33">
        <v>2</v>
      </c>
      <c r="F118" s="33">
        <v>2</v>
      </c>
      <c r="G118" s="15">
        <v>0</v>
      </c>
      <c r="H118" s="15">
        <v>0</v>
      </c>
      <c r="I118" s="15">
        <v>0</v>
      </c>
      <c r="J118" s="34"/>
    </row>
    <row r="119" spans="1:10" s="2" customFormat="1" ht="20.25" customHeight="1" x14ac:dyDescent="0.3">
      <c r="A119" s="16"/>
      <c r="B119" s="62" t="s">
        <v>178</v>
      </c>
      <c r="C119" s="63"/>
      <c r="D119" s="19"/>
      <c r="E119" s="19"/>
      <c r="F119" s="19"/>
      <c r="G119" s="179"/>
      <c r="H119" s="179"/>
      <c r="I119" s="179"/>
      <c r="J119" s="21"/>
    </row>
    <row r="120" spans="1:10" s="2" customFormat="1" ht="20.25" customHeight="1" x14ac:dyDescent="0.3">
      <c r="A120" s="30">
        <v>53</v>
      </c>
      <c r="B120" s="31" t="s">
        <v>191</v>
      </c>
      <c r="C120" s="43">
        <v>1</v>
      </c>
      <c r="D120" s="44">
        <v>1</v>
      </c>
      <c r="E120" s="44">
        <v>1</v>
      </c>
      <c r="F120" s="44">
        <v>1</v>
      </c>
      <c r="G120" s="45">
        <v>0</v>
      </c>
      <c r="H120" s="45">
        <v>0</v>
      </c>
      <c r="I120" s="45">
        <v>0</v>
      </c>
      <c r="J120" s="34"/>
    </row>
    <row r="121" spans="1:10" s="2" customFormat="1" ht="20.25" customHeight="1" x14ac:dyDescent="0.3">
      <c r="A121" s="16"/>
      <c r="B121" s="62" t="s">
        <v>21</v>
      </c>
      <c r="C121" s="63"/>
      <c r="D121" s="19"/>
      <c r="E121" s="19"/>
      <c r="F121" s="19"/>
      <c r="G121" s="179"/>
      <c r="H121" s="179"/>
      <c r="I121" s="179"/>
      <c r="J121" s="21"/>
    </row>
    <row r="122" spans="1:10" s="2" customFormat="1" ht="20.25" customHeight="1" x14ac:dyDescent="0.3">
      <c r="A122" s="48">
        <v>54</v>
      </c>
      <c r="B122" s="49" t="s">
        <v>211</v>
      </c>
      <c r="C122" s="217">
        <v>1</v>
      </c>
      <c r="D122" s="217">
        <v>1</v>
      </c>
      <c r="E122" s="217">
        <v>1</v>
      </c>
      <c r="F122" s="217">
        <v>1</v>
      </c>
      <c r="G122" s="379">
        <v>0</v>
      </c>
      <c r="H122" s="379">
        <v>0</v>
      </c>
      <c r="I122" s="379">
        <v>0</v>
      </c>
      <c r="J122" s="50"/>
    </row>
    <row r="123" spans="1:10" s="2" customFormat="1" ht="20.25" customHeight="1" x14ac:dyDescent="0.3">
      <c r="A123" s="51"/>
      <c r="B123" s="52"/>
      <c r="C123" s="66"/>
      <c r="D123" s="67"/>
      <c r="E123" s="67"/>
      <c r="F123" s="67"/>
      <c r="G123" s="177"/>
      <c r="H123" s="177"/>
      <c r="I123" s="177"/>
      <c r="J123" s="53"/>
    </row>
    <row r="124" spans="1:10" s="2" customFormat="1" ht="20.25" customHeight="1" x14ac:dyDescent="0.3">
      <c r="A124" s="51"/>
      <c r="B124" s="52"/>
      <c r="C124" s="66"/>
      <c r="D124" s="67"/>
      <c r="E124" s="67"/>
      <c r="F124" s="67"/>
      <c r="G124" s="177"/>
      <c r="H124" s="177"/>
      <c r="I124" s="177"/>
      <c r="J124" s="53"/>
    </row>
    <row r="125" spans="1:10" s="2" customFormat="1" ht="20.25" customHeight="1" x14ac:dyDescent="0.3">
      <c r="A125" s="51"/>
      <c r="B125" s="52"/>
      <c r="C125" s="66"/>
      <c r="D125" s="67"/>
      <c r="E125" s="67"/>
      <c r="F125" s="67"/>
      <c r="G125" s="177"/>
      <c r="H125" s="177"/>
      <c r="I125" s="177"/>
      <c r="J125" s="53"/>
    </row>
    <row r="126" spans="1:10" s="2" customFormat="1" ht="20.25" customHeight="1" x14ac:dyDescent="0.3">
      <c r="A126" s="51"/>
      <c r="B126" s="52"/>
      <c r="C126" s="66"/>
      <c r="D126" s="67"/>
      <c r="E126" s="67"/>
      <c r="F126" s="67"/>
      <c r="G126" s="177"/>
      <c r="H126" s="177"/>
      <c r="I126" s="177"/>
      <c r="J126" s="53"/>
    </row>
    <row r="127" spans="1:10" s="2" customFormat="1" ht="20.25" customHeight="1" x14ac:dyDescent="0.3">
      <c r="A127" s="51"/>
      <c r="B127" s="52"/>
      <c r="C127" s="66"/>
      <c r="D127" s="67"/>
      <c r="E127" s="67"/>
      <c r="F127" s="67"/>
      <c r="G127" s="177"/>
      <c r="H127" s="177"/>
      <c r="I127" s="177"/>
      <c r="J127" s="53"/>
    </row>
    <row r="128" spans="1:10" s="2" customFormat="1" ht="20.25" customHeight="1" x14ac:dyDescent="0.3">
      <c r="A128" s="51"/>
      <c r="B128" s="52"/>
      <c r="C128" s="66"/>
      <c r="D128" s="67"/>
      <c r="E128" s="67"/>
      <c r="F128" s="67"/>
      <c r="G128" s="177"/>
      <c r="H128" s="177"/>
      <c r="I128" s="177"/>
      <c r="J128" s="53"/>
    </row>
    <row r="129" spans="1:10" s="2" customFormat="1" ht="20.25" customHeight="1" x14ac:dyDescent="0.3">
      <c r="A129" s="51"/>
      <c r="B129" s="52"/>
      <c r="C129" s="66"/>
      <c r="D129" s="67"/>
      <c r="E129" s="67"/>
      <c r="F129" s="67"/>
      <c r="G129" s="177"/>
      <c r="H129" s="177"/>
      <c r="I129" s="177"/>
      <c r="J129" s="53"/>
    </row>
    <row r="130" spans="1:10" s="2" customFormat="1" ht="20.25" customHeight="1" x14ac:dyDescent="0.3">
      <c r="A130" s="51"/>
      <c r="B130" s="52"/>
      <c r="C130" s="66"/>
      <c r="D130" s="67"/>
      <c r="E130" s="67"/>
      <c r="F130" s="67"/>
      <c r="G130" s="177"/>
      <c r="H130" s="177"/>
      <c r="I130" s="177"/>
      <c r="J130" s="53"/>
    </row>
    <row r="131" spans="1:10" s="2" customFormat="1" ht="20.25" customHeight="1" x14ac:dyDescent="0.3">
      <c r="A131" s="51"/>
      <c r="B131" s="52"/>
      <c r="C131" s="66"/>
      <c r="D131" s="67"/>
      <c r="E131" s="67"/>
      <c r="F131" s="67"/>
      <c r="G131" s="177"/>
      <c r="H131" s="177"/>
      <c r="I131" s="177"/>
      <c r="J131" s="53"/>
    </row>
    <row r="132" spans="1:10" s="2" customFormat="1" ht="20.25" customHeight="1" x14ac:dyDescent="0.3">
      <c r="A132" s="51"/>
      <c r="B132" s="52"/>
      <c r="C132" s="66"/>
      <c r="D132" s="67"/>
      <c r="E132" s="67"/>
      <c r="F132" s="67"/>
      <c r="G132" s="177"/>
      <c r="H132" s="177"/>
      <c r="I132" s="177"/>
      <c r="J132" s="53"/>
    </row>
    <row r="133" spans="1:10" s="2" customFormat="1" ht="20.25" customHeight="1" x14ac:dyDescent="0.3">
      <c r="A133" s="51"/>
      <c r="B133" s="52"/>
      <c r="C133" s="66"/>
      <c r="D133" s="67"/>
      <c r="E133" s="67"/>
      <c r="F133" s="67"/>
      <c r="G133" s="177"/>
      <c r="H133" s="177"/>
      <c r="I133" s="177"/>
      <c r="J133" s="53"/>
    </row>
    <row r="134" spans="1:10" s="2" customFormat="1" ht="20.25" customHeight="1" x14ac:dyDescent="0.3">
      <c r="A134" s="483" t="s">
        <v>1</v>
      </c>
      <c r="B134" s="483" t="s">
        <v>2</v>
      </c>
      <c r="C134" s="1" t="s">
        <v>3</v>
      </c>
      <c r="D134" s="486" t="s">
        <v>4</v>
      </c>
      <c r="E134" s="487"/>
      <c r="F134" s="488"/>
      <c r="G134" s="489" t="s">
        <v>5</v>
      </c>
      <c r="H134" s="490"/>
      <c r="I134" s="491"/>
      <c r="J134" s="492" t="s">
        <v>6</v>
      </c>
    </row>
    <row r="135" spans="1:10" s="2" customFormat="1" ht="20.25" customHeight="1" x14ac:dyDescent="0.3">
      <c r="A135" s="484"/>
      <c r="B135" s="484"/>
      <c r="C135" s="3" t="s">
        <v>7</v>
      </c>
      <c r="D135" s="495" t="s">
        <v>8</v>
      </c>
      <c r="E135" s="496"/>
      <c r="F135" s="497"/>
      <c r="G135" s="495" t="s">
        <v>9</v>
      </c>
      <c r="H135" s="496"/>
      <c r="I135" s="497"/>
      <c r="J135" s="493"/>
    </row>
    <row r="136" spans="1:10" s="2" customFormat="1" ht="20.25" customHeight="1" x14ac:dyDescent="0.3">
      <c r="A136" s="485"/>
      <c r="B136" s="485"/>
      <c r="C136" s="4" t="s">
        <v>10</v>
      </c>
      <c r="D136" s="54" t="s">
        <v>249</v>
      </c>
      <c r="E136" s="54" t="s">
        <v>250</v>
      </c>
      <c r="F136" s="54" t="s">
        <v>251</v>
      </c>
      <c r="G136" s="54" t="s">
        <v>249</v>
      </c>
      <c r="H136" s="54" t="s">
        <v>250</v>
      </c>
      <c r="I136" s="54" t="s">
        <v>251</v>
      </c>
      <c r="J136" s="494"/>
    </row>
    <row r="137" spans="1:10" s="2" customFormat="1" ht="20.25" customHeight="1" x14ac:dyDescent="0.3">
      <c r="A137" s="380"/>
      <c r="B137" s="381" t="s">
        <v>341</v>
      </c>
      <c r="C137" s="380"/>
      <c r="D137" s="380"/>
      <c r="E137" s="380"/>
      <c r="F137" s="380"/>
      <c r="G137" s="380"/>
      <c r="H137" s="380"/>
      <c r="I137" s="380"/>
      <c r="J137" s="380"/>
    </row>
    <row r="138" spans="1:10" s="2" customFormat="1" ht="20.25" customHeight="1" x14ac:dyDescent="0.3">
      <c r="A138" s="30">
        <v>55</v>
      </c>
      <c r="B138" s="31" t="s">
        <v>370</v>
      </c>
      <c r="C138" s="61">
        <v>2</v>
      </c>
      <c r="D138" s="33">
        <v>2</v>
      </c>
      <c r="E138" s="33">
        <v>2</v>
      </c>
      <c r="F138" s="33">
        <v>2</v>
      </c>
      <c r="G138" s="15">
        <v>0</v>
      </c>
      <c r="H138" s="15">
        <v>0</v>
      </c>
      <c r="I138" s="15">
        <v>0</v>
      </c>
      <c r="J138" s="34"/>
    </row>
    <row r="139" spans="1:10" s="2" customFormat="1" ht="20.25" customHeight="1" x14ac:dyDescent="0.3">
      <c r="A139" s="382"/>
      <c r="B139" s="62" t="s">
        <v>176</v>
      </c>
      <c r="C139" s="382"/>
      <c r="D139" s="382"/>
      <c r="E139" s="382"/>
      <c r="F139" s="382"/>
      <c r="G139" s="382"/>
      <c r="H139" s="382"/>
      <c r="I139" s="382"/>
      <c r="J139" s="382"/>
    </row>
    <row r="140" spans="1:10" s="2" customFormat="1" ht="20.25" customHeight="1" x14ac:dyDescent="0.3">
      <c r="A140" s="30">
        <v>56</v>
      </c>
      <c r="B140" s="31" t="s">
        <v>17</v>
      </c>
      <c r="C140" s="43">
        <v>1</v>
      </c>
      <c r="D140" s="44">
        <v>1</v>
      </c>
      <c r="E140" s="44">
        <v>1</v>
      </c>
      <c r="F140" s="44">
        <v>1</v>
      </c>
      <c r="G140" s="45">
        <v>0</v>
      </c>
      <c r="H140" s="45">
        <v>0</v>
      </c>
      <c r="I140" s="45">
        <v>0</v>
      </c>
      <c r="J140" s="34"/>
    </row>
    <row r="141" spans="1:10" s="2" customFormat="1" ht="20.25" customHeight="1" x14ac:dyDescent="0.3">
      <c r="A141" s="382"/>
      <c r="B141" s="62" t="s">
        <v>21</v>
      </c>
      <c r="C141" s="382"/>
      <c r="D141" s="382"/>
      <c r="E141" s="382"/>
      <c r="F141" s="382"/>
      <c r="G141" s="382"/>
      <c r="H141" s="382"/>
      <c r="I141" s="382"/>
      <c r="J141" s="382"/>
    </row>
    <row r="142" spans="1:10" s="2" customFormat="1" ht="20.25" customHeight="1" x14ac:dyDescent="0.3">
      <c r="A142" s="30">
        <v>57</v>
      </c>
      <c r="B142" s="31" t="s">
        <v>211</v>
      </c>
      <c r="C142" s="44">
        <v>1</v>
      </c>
      <c r="D142" s="44">
        <v>1</v>
      </c>
      <c r="E142" s="44">
        <v>1</v>
      </c>
      <c r="F142" s="44">
        <v>1</v>
      </c>
      <c r="G142" s="45">
        <v>0</v>
      </c>
      <c r="H142" s="45">
        <v>0</v>
      </c>
      <c r="I142" s="45">
        <v>0</v>
      </c>
      <c r="J142" s="34"/>
    </row>
    <row r="143" spans="1:10" s="2" customFormat="1" ht="20.25" customHeight="1" x14ac:dyDescent="0.3">
      <c r="A143" s="16"/>
      <c r="B143" s="62" t="s">
        <v>343</v>
      </c>
      <c r="C143" s="263"/>
      <c r="D143" s="263"/>
      <c r="E143" s="263"/>
      <c r="F143" s="263"/>
      <c r="G143" s="214"/>
      <c r="H143" s="214"/>
      <c r="I143" s="214"/>
      <c r="J143" s="21"/>
    </row>
    <row r="144" spans="1:10" s="2" customFormat="1" ht="20.25" customHeight="1" x14ac:dyDescent="0.3">
      <c r="A144" s="30">
        <v>58</v>
      </c>
      <c r="B144" s="31" t="s">
        <v>371</v>
      </c>
      <c r="C144" s="61">
        <v>2</v>
      </c>
      <c r="D144" s="33">
        <v>2</v>
      </c>
      <c r="E144" s="33">
        <v>2</v>
      </c>
      <c r="F144" s="33">
        <v>2</v>
      </c>
      <c r="G144" s="15">
        <v>0</v>
      </c>
      <c r="H144" s="15">
        <v>0</v>
      </c>
      <c r="I144" s="15">
        <v>0</v>
      </c>
      <c r="J144" s="34"/>
    </row>
    <row r="145" spans="1:10" s="2" customFormat="1" ht="20.25" customHeight="1" x14ac:dyDescent="0.3">
      <c r="A145" s="382"/>
      <c r="B145" s="62" t="s">
        <v>21</v>
      </c>
      <c r="C145" s="382"/>
      <c r="D145" s="382"/>
      <c r="E145" s="382"/>
      <c r="F145" s="382"/>
      <c r="G145" s="382"/>
      <c r="H145" s="382"/>
      <c r="I145" s="382"/>
      <c r="J145" s="382"/>
    </row>
    <row r="146" spans="1:10" s="2" customFormat="1" ht="20.25" customHeight="1" x14ac:dyDescent="0.3">
      <c r="A146" s="30">
        <v>59</v>
      </c>
      <c r="B146" s="31" t="s">
        <v>211</v>
      </c>
      <c r="C146" s="44">
        <v>1</v>
      </c>
      <c r="D146" s="44">
        <v>1</v>
      </c>
      <c r="E146" s="44">
        <v>1</v>
      </c>
      <c r="F146" s="44">
        <v>1</v>
      </c>
      <c r="G146" s="45">
        <v>0</v>
      </c>
      <c r="H146" s="45">
        <v>0</v>
      </c>
      <c r="I146" s="45">
        <v>0</v>
      </c>
      <c r="J146" s="34"/>
    </row>
    <row r="147" spans="1:10" s="2" customFormat="1" ht="20.25" customHeight="1" x14ac:dyDescent="0.3">
      <c r="A147" s="382"/>
      <c r="B147" s="383" t="s">
        <v>344</v>
      </c>
      <c r="C147" s="382"/>
      <c r="D147" s="382"/>
      <c r="E147" s="382"/>
      <c r="F147" s="382"/>
      <c r="G147" s="382"/>
      <c r="H147" s="382"/>
      <c r="I147" s="382"/>
      <c r="J147" s="382"/>
    </row>
    <row r="148" spans="1:10" s="2" customFormat="1" ht="20.25" customHeight="1" x14ac:dyDescent="0.3">
      <c r="A148" s="30">
        <v>60</v>
      </c>
      <c r="B148" s="31" t="s">
        <v>79</v>
      </c>
      <c r="C148" s="61">
        <v>1</v>
      </c>
      <c r="D148" s="33">
        <v>1</v>
      </c>
      <c r="E148" s="33">
        <v>1</v>
      </c>
      <c r="F148" s="33">
        <v>1</v>
      </c>
      <c r="G148" s="15"/>
      <c r="H148" s="15"/>
      <c r="I148" s="15"/>
      <c r="J148" s="34"/>
    </row>
    <row r="149" spans="1:10" s="2" customFormat="1" ht="20.25" customHeight="1" x14ac:dyDescent="0.3">
      <c r="A149" s="16"/>
      <c r="B149" s="62" t="s">
        <v>178</v>
      </c>
      <c r="C149" s="63"/>
      <c r="D149" s="19"/>
      <c r="E149" s="19"/>
      <c r="F149" s="19"/>
      <c r="G149" s="179"/>
      <c r="H149" s="179"/>
      <c r="I149" s="179"/>
      <c r="J149" s="21"/>
    </row>
    <row r="150" spans="1:10" s="2" customFormat="1" ht="17.25" customHeight="1" x14ac:dyDescent="0.3">
      <c r="A150" s="30">
        <v>61</v>
      </c>
      <c r="B150" s="31" t="s">
        <v>191</v>
      </c>
      <c r="C150" s="43">
        <v>1</v>
      </c>
      <c r="D150" s="44">
        <v>1</v>
      </c>
      <c r="E150" s="44">
        <v>1</v>
      </c>
      <c r="F150" s="44">
        <v>1</v>
      </c>
      <c r="G150" s="45">
        <v>0</v>
      </c>
      <c r="H150" s="45">
        <v>0</v>
      </c>
      <c r="I150" s="45">
        <v>0</v>
      </c>
      <c r="J150" s="34"/>
    </row>
    <row r="151" spans="1:10" s="2" customFormat="1" ht="17.25" customHeight="1" x14ac:dyDescent="0.3">
      <c r="A151" s="16"/>
      <c r="B151" s="62" t="s">
        <v>21</v>
      </c>
      <c r="C151" s="262"/>
      <c r="D151" s="263"/>
      <c r="E151" s="263"/>
      <c r="F151" s="263"/>
      <c r="G151" s="214"/>
      <c r="H151" s="214"/>
      <c r="I151" s="214"/>
      <c r="J151" s="21"/>
    </row>
    <row r="152" spans="1:10" s="2" customFormat="1" ht="17.25" customHeight="1" thickBot="1" x14ac:dyDescent="0.35">
      <c r="A152" s="462">
        <v>62</v>
      </c>
      <c r="B152" s="463" t="s">
        <v>211</v>
      </c>
      <c r="C152" s="464">
        <v>1</v>
      </c>
      <c r="D152" s="464">
        <v>1</v>
      </c>
      <c r="E152" s="464">
        <v>1</v>
      </c>
      <c r="F152" s="464">
        <v>1</v>
      </c>
      <c r="G152" s="465">
        <v>0</v>
      </c>
      <c r="H152" s="465">
        <v>0</v>
      </c>
      <c r="I152" s="465">
        <v>0</v>
      </c>
      <c r="J152" s="466"/>
    </row>
    <row r="153" spans="1:10" s="2" customFormat="1" ht="17.25" customHeight="1" x14ac:dyDescent="0.3">
      <c r="A153" s="11"/>
      <c r="B153" s="28" t="s">
        <v>455</v>
      </c>
      <c r="C153" s="460"/>
      <c r="D153" s="460"/>
      <c r="E153" s="460"/>
      <c r="F153" s="460"/>
      <c r="G153" s="461"/>
      <c r="H153" s="461"/>
      <c r="I153" s="461"/>
      <c r="J153" s="10"/>
    </row>
    <row r="154" spans="1:10" s="2" customFormat="1" ht="17.25" customHeight="1" x14ac:dyDescent="0.3">
      <c r="A154" s="11"/>
      <c r="B154" s="28" t="s">
        <v>50</v>
      </c>
      <c r="C154" s="460"/>
      <c r="D154" s="460"/>
      <c r="E154" s="460"/>
      <c r="F154" s="460"/>
      <c r="G154" s="461"/>
      <c r="H154" s="461"/>
      <c r="I154" s="461"/>
      <c r="J154" s="10"/>
    </row>
    <row r="155" spans="1:10" s="2" customFormat="1" ht="17.25" customHeight="1" x14ac:dyDescent="0.3">
      <c r="A155" s="22">
        <v>63</v>
      </c>
      <c r="B155" s="23" t="s">
        <v>464</v>
      </c>
      <c r="C155" s="385">
        <v>0</v>
      </c>
      <c r="D155" s="384">
        <v>1</v>
      </c>
      <c r="E155" s="384">
        <v>1</v>
      </c>
      <c r="F155" s="384">
        <v>1</v>
      </c>
      <c r="G155" s="385" t="s">
        <v>212</v>
      </c>
      <c r="H155" s="385">
        <v>0</v>
      </c>
      <c r="I155" s="385">
        <v>0</v>
      </c>
      <c r="J155" s="27" t="s">
        <v>458</v>
      </c>
    </row>
    <row r="156" spans="1:10" s="2" customFormat="1" ht="17.25" customHeight="1" x14ac:dyDescent="0.3">
      <c r="A156" s="481" t="s">
        <v>31</v>
      </c>
      <c r="B156" s="482"/>
      <c r="C156" s="72">
        <f>SUM(C10:C152)</f>
        <v>65</v>
      </c>
      <c r="D156" s="72">
        <f>SUM(D10:D155)</f>
        <v>67</v>
      </c>
      <c r="E156" s="72">
        <f>SUM(E10:E155)</f>
        <v>67</v>
      </c>
      <c r="F156" s="72">
        <f>SUM(F10:F155)</f>
        <v>67</v>
      </c>
      <c r="G156" s="215">
        <v>2</v>
      </c>
      <c r="H156" s="385">
        <v>0</v>
      </c>
      <c r="I156" s="385">
        <v>0</v>
      </c>
      <c r="J156" s="73"/>
    </row>
    <row r="157" spans="1:10" s="2" customFormat="1" ht="18.75" x14ac:dyDescent="0.3">
      <c r="A157" s="74"/>
      <c r="B157" s="74"/>
      <c r="C157" s="75"/>
      <c r="D157" s="74"/>
      <c r="E157" s="74"/>
      <c r="F157" s="74"/>
      <c r="G157" s="74"/>
      <c r="H157" s="74"/>
      <c r="I157" s="74"/>
      <c r="J157" s="76"/>
    </row>
    <row r="158" spans="1:10" s="2" customFormat="1" ht="18.75" x14ac:dyDescent="0.3">
      <c r="A158" s="74"/>
      <c r="B158" s="74"/>
      <c r="C158" s="75"/>
      <c r="D158" s="74"/>
      <c r="E158" s="74"/>
      <c r="F158" s="74"/>
      <c r="G158" s="74"/>
      <c r="H158" s="74"/>
      <c r="I158" s="74"/>
      <c r="J158" s="76"/>
    </row>
  </sheetData>
  <mergeCells count="30">
    <mergeCell ref="A5:J5"/>
    <mergeCell ref="A156:B156"/>
    <mergeCell ref="A93:A95"/>
    <mergeCell ref="B93:B95"/>
    <mergeCell ref="J134:J136"/>
    <mergeCell ref="D135:F135"/>
    <mergeCell ref="G135:I135"/>
    <mergeCell ref="A134:A136"/>
    <mergeCell ref="B134:B136"/>
    <mergeCell ref="D134:F134"/>
    <mergeCell ref="G134:I134"/>
    <mergeCell ref="G93:I93"/>
    <mergeCell ref="J93:J95"/>
    <mergeCell ref="D94:F94"/>
    <mergeCell ref="G94:I94"/>
    <mergeCell ref="D93:F93"/>
    <mergeCell ref="J51:J53"/>
    <mergeCell ref="A7:A9"/>
    <mergeCell ref="B7:B9"/>
    <mergeCell ref="D7:F7"/>
    <mergeCell ref="G7:I7"/>
    <mergeCell ref="J7:J9"/>
    <mergeCell ref="D8:F8"/>
    <mergeCell ref="G8:I8"/>
    <mergeCell ref="G51:I51"/>
    <mergeCell ref="D52:F52"/>
    <mergeCell ref="G52:I52"/>
    <mergeCell ref="A51:A53"/>
    <mergeCell ref="B51:B53"/>
    <mergeCell ref="D51:F51"/>
  </mergeCells>
  <pageMargins left="0.62992125984251968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Y166"/>
  <sheetViews>
    <sheetView showWhiteSpace="0" topLeftCell="A145" zoomScale="140" zoomScaleNormal="140" zoomScalePageLayoutView="150" workbookViewId="0">
      <selection activeCell="V107" sqref="V107"/>
    </sheetView>
  </sheetViews>
  <sheetFormatPr defaultRowHeight="12.75" x14ac:dyDescent="0.2"/>
  <cols>
    <col min="1" max="1" width="3.75" style="77" customWidth="1"/>
    <col min="2" max="2" width="19.625" style="77" customWidth="1"/>
    <col min="3" max="3" width="5.25" style="77" customWidth="1"/>
    <col min="4" max="5" width="4.375" style="77" customWidth="1"/>
    <col min="6" max="6" width="8.5" style="77" customWidth="1"/>
    <col min="7" max="7" width="7.125" style="77" customWidth="1"/>
    <col min="8" max="9" width="4.625" style="77" customWidth="1"/>
    <col min="10" max="10" width="5.375" style="77" customWidth="1"/>
    <col min="11" max="11" width="4.125" style="77" customWidth="1"/>
    <col min="12" max="13" width="3.875" style="77" customWidth="1"/>
    <col min="14" max="14" width="7.75" style="77" customWidth="1"/>
    <col min="15" max="16" width="7.125" style="77" customWidth="1"/>
    <col min="17" max="17" width="8.375" style="77" customWidth="1"/>
    <col min="18" max="18" width="8.125" style="77" customWidth="1"/>
    <col min="19" max="19" width="8.25" style="77" customWidth="1"/>
    <col min="20" max="20" width="7.75" style="181" customWidth="1"/>
    <col min="21" max="260" width="9" style="77"/>
    <col min="261" max="261" width="3.75" style="77" customWidth="1"/>
    <col min="262" max="262" width="28.25" style="77" customWidth="1"/>
    <col min="263" max="263" width="6.75" style="77" customWidth="1"/>
    <col min="264" max="264" width="5.875" style="77" customWidth="1"/>
    <col min="265" max="265" width="4.125" style="77" customWidth="1"/>
    <col min="266" max="266" width="10.125" style="77" customWidth="1"/>
    <col min="267" max="267" width="4.5" style="77" customWidth="1"/>
    <col min="268" max="268" width="4.75" style="77" customWidth="1"/>
    <col min="269" max="269" width="4.5" style="77" customWidth="1"/>
    <col min="270" max="270" width="8.5" style="77" customWidth="1"/>
    <col min="271" max="271" width="8.375" style="77" customWidth="1"/>
    <col min="272" max="272" width="8.5" style="77" customWidth="1"/>
    <col min="273" max="273" width="10.375" style="77" customWidth="1"/>
    <col min="274" max="274" width="10.125" style="77" customWidth="1"/>
    <col min="275" max="275" width="10.25" style="77" customWidth="1"/>
    <col min="276" max="516" width="9" style="77"/>
    <col min="517" max="517" width="3.75" style="77" customWidth="1"/>
    <col min="518" max="518" width="28.25" style="77" customWidth="1"/>
    <col min="519" max="519" width="6.75" style="77" customWidth="1"/>
    <col min="520" max="520" width="5.875" style="77" customWidth="1"/>
    <col min="521" max="521" width="4.125" style="77" customWidth="1"/>
    <col min="522" max="522" width="10.125" style="77" customWidth="1"/>
    <col min="523" max="523" width="4.5" style="77" customWidth="1"/>
    <col min="524" max="524" width="4.75" style="77" customWidth="1"/>
    <col min="525" max="525" width="4.5" style="77" customWidth="1"/>
    <col min="526" max="526" width="8.5" style="77" customWidth="1"/>
    <col min="527" max="527" width="8.375" style="77" customWidth="1"/>
    <col min="528" max="528" width="8.5" style="77" customWidth="1"/>
    <col min="529" max="529" width="10.375" style="77" customWidth="1"/>
    <col min="530" max="530" width="10.125" style="77" customWidth="1"/>
    <col min="531" max="531" width="10.25" style="77" customWidth="1"/>
    <col min="532" max="772" width="9" style="77"/>
    <col min="773" max="773" width="3.75" style="77" customWidth="1"/>
    <col min="774" max="774" width="28.25" style="77" customWidth="1"/>
    <col min="775" max="775" width="6.75" style="77" customWidth="1"/>
    <col min="776" max="776" width="5.875" style="77" customWidth="1"/>
    <col min="777" max="777" width="4.125" style="77" customWidth="1"/>
    <col min="778" max="778" width="10.125" style="77" customWidth="1"/>
    <col min="779" max="779" width="4.5" style="77" customWidth="1"/>
    <col min="780" max="780" width="4.75" style="77" customWidth="1"/>
    <col min="781" max="781" width="4.5" style="77" customWidth="1"/>
    <col min="782" max="782" width="8.5" style="77" customWidth="1"/>
    <col min="783" max="783" width="8.375" style="77" customWidth="1"/>
    <col min="784" max="784" width="8.5" style="77" customWidth="1"/>
    <col min="785" max="785" width="10.375" style="77" customWidth="1"/>
    <col min="786" max="786" width="10.125" style="77" customWidth="1"/>
    <col min="787" max="787" width="10.25" style="77" customWidth="1"/>
    <col min="788" max="1028" width="9" style="77"/>
    <col min="1029" max="1029" width="3.75" style="77" customWidth="1"/>
    <col min="1030" max="1030" width="28.25" style="77" customWidth="1"/>
    <col min="1031" max="1031" width="6.75" style="77" customWidth="1"/>
    <col min="1032" max="1032" width="5.875" style="77" customWidth="1"/>
    <col min="1033" max="1033" width="4.125" style="77" customWidth="1"/>
    <col min="1034" max="1034" width="10.125" style="77" customWidth="1"/>
    <col min="1035" max="1035" width="4.5" style="77" customWidth="1"/>
    <col min="1036" max="1036" width="4.75" style="77" customWidth="1"/>
    <col min="1037" max="1037" width="4.5" style="77" customWidth="1"/>
    <col min="1038" max="1038" width="8.5" style="77" customWidth="1"/>
    <col min="1039" max="1039" width="8.375" style="77" customWidth="1"/>
    <col min="1040" max="1040" width="8.5" style="77" customWidth="1"/>
    <col min="1041" max="1041" width="10.375" style="77" customWidth="1"/>
    <col min="1042" max="1042" width="10.125" style="77" customWidth="1"/>
    <col min="1043" max="1043" width="10.25" style="77" customWidth="1"/>
    <col min="1044" max="1284" width="9" style="77"/>
    <col min="1285" max="1285" width="3.75" style="77" customWidth="1"/>
    <col min="1286" max="1286" width="28.25" style="77" customWidth="1"/>
    <col min="1287" max="1287" width="6.75" style="77" customWidth="1"/>
    <col min="1288" max="1288" width="5.875" style="77" customWidth="1"/>
    <col min="1289" max="1289" width="4.125" style="77" customWidth="1"/>
    <col min="1290" max="1290" width="10.125" style="77" customWidth="1"/>
    <col min="1291" max="1291" width="4.5" style="77" customWidth="1"/>
    <col min="1292" max="1292" width="4.75" style="77" customWidth="1"/>
    <col min="1293" max="1293" width="4.5" style="77" customWidth="1"/>
    <col min="1294" max="1294" width="8.5" style="77" customWidth="1"/>
    <col min="1295" max="1295" width="8.375" style="77" customWidth="1"/>
    <col min="1296" max="1296" width="8.5" style="77" customWidth="1"/>
    <col min="1297" max="1297" width="10.375" style="77" customWidth="1"/>
    <col min="1298" max="1298" width="10.125" style="77" customWidth="1"/>
    <col min="1299" max="1299" width="10.25" style="77" customWidth="1"/>
    <col min="1300" max="1540" width="9" style="77"/>
    <col min="1541" max="1541" width="3.75" style="77" customWidth="1"/>
    <col min="1542" max="1542" width="28.25" style="77" customWidth="1"/>
    <col min="1543" max="1543" width="6.75" style="77" customWidth="1"/>
    <col min="1544" max="1544" width="5.875" style="77" customWidth="1"/>
    <col min="1545" max="1545" width="4.125" style="77" customWidth="1"/>
    <col min="1546" max="1546" width="10.125" style="77" customWidth="1"/>
    <col min="1547" max="1547" width="4.5" style="77" customWidth="1"/>
    <col min="1548" max="1548" width="4.75" style="77" customWidth="1"/>
    <col min="1549" max="1549" width="4.5" style="77" customWidth="1"/>
    <col min="1550" max="1550" width="8.5" style="77" customWidth="1"/>
    <col min="1551" max="1551" width="8.375" style="77" customWidth="1"/>
    <col min="1552" max="1552" width="8.5" style="77" customWidth="1"/>
    <col min="1553" max="1553" width="10.375" style="77" customWidth="1"/>
    <col min="1554" max="1554" width="10.125" style="77" customWidth="1"/>
    <col min="1555" max="1555" width="10.25" style="77" customWidth="1"/>
    <col min="1556" max="1796" width="9" style="77"/>
    <col min="1797" max="1797" width="3.75" style="77" customWidth="1"/>
    <col min="1798" max="1798" width="28.25" style="77" customWidth="1"/>
    <col min="1799" max="1799" width="6.75" style="77" customWidth="1"/>
    <col min="1800" max="1800" width="5.875" style="77" customWidth="1"/>
    <col min="1801" max="1801" width="4.125" style="77" customWidth="1"/>
    <col min="1802" max="1802" width="10.125" style="77" customWidth="1"/>
    <col min="1803" max="1803" width="4.5" style="77" customWidth="1"/>
    <col min="1804" max="1804" width="4.75" style="77" customWidth="1"/>
    <col min="1805" max="1805" width="4.5" style="77" customWidth="1"/>
    <col min="1806" max="1806" width="8.5" style="77" customWidth="1"/>
    <col min="1807" max="1807" width="8.375" style="77" customWidth="1"/>
    <col min="1808" max="1808" width="8.5" style="77" customWidth="1"/>
    <col min="1809" max="1809" width="10.375" style="77" customWidth="1"/>
    <col min="1810" max="1810" width="10.125" style="77" customWidth="1"/>
    <col min="1811" max="1811" width="10.25" style="77" customWidth="1"/>
    <col min="1812" max="2052" width="9" style="77"/>
    <col min="2053" max="2053" width="3.75" style="77" customWidth="1"/>
    <col min="2054" max="2054" width="28.25" style="77" customWidth="1"/>
    <col min="2055" max="2055" width="6.75" style="77" customWidth="1"/>
    <col min="2056" max="2056" width="5.875" style="77" customWidth="1"/>
    <col min="2057" max="2057" width="4.125" style="77" customWidth="1"/>
    <col min="2058" max="2058" width="10.125" style="77" customWidth="1"/>
    <col min="2059" max="2059" width="4.5" style="77" customWidth="1"/>
    <col min="2060" max="2060" width="4.75" style="77" customWidth="1"/>
    <col min="2061" max="2061" width="4.5" style="77" customWidth="1"/>
    <col min="2062" max="2062" width="8.5" style="77" customWidth="1"/>
    <col min="2063" max="2063" width="8.375" style="77" customWidth="1"/>
    <col min="2064" max="2064" width="8.5" style="77" customWidth="1"/>
    <col min="2065" max="2065" width="10.375" style="77" customWidth="1"/>
    <col min="2066" max="2066" width="10.125" style="77" customWidth="1"/>
    <col min="2067" max="2067" width="10.25" style="77" customWidth="1"/>
    <col min="2068" max="2308" width="9" style="77"/>
    <col min="2309" max="2309" width="3.75" style="77" customWidth="1"/>
    <col min="2310" max="2310" width="28.25" style="77" customWidth="1"/>
    <col min="2311" max="2311" width="6.75" style="77" customWidth="1"/>
    <col min="2312" max="2312" width="5.875" style="77" customWidth="1"/>
    <col min="2313" max="2313" width="4.125" style="77" customWidth="1"/>
    <col min="2314" max="2314" width="10.125" style="77" customWidth="1"/>
    <col min="2315" max="2315" width="4.5" style="77" customWidth="1"/>
    <col min="2316" max="2316" width="4.75" style="77" customWidth="1"/>
    <col min="2317" max="2317" width="4.5" style="77" customWidth="1"/>
    <col min="2318" max="2318" width="8.5" style="77" customWidth="1"/>
    <col min="2319" max="2319" width="8.375" style="77" customWidth="1"/>
    <col min="2320" max="2320" width="8.5" style="77" customWidth="1"/>
    <col min="2321" max="2321" width="10.375" style="77" customWidth="1"/>
    <col min="2322" max="2322" width="10.125" style="77" customWidth="1"/>
    <col min="2323" max="2323" width="10.25" style="77" customWidth="1"/>
    <col min="2324" max="2564" width="9" style="77"/>
    <col min="2565" max="2565" width="3.75" style="77" customWidth="1"/>
    <col min="2566" max="2566" width="28.25" style="77" customWidth="1"/>
    <col min="2567" max="2567" width="6.75" style="77" customWidth="1"/>
    <col min="2568" max="2568" width="5.875" style="77" customWidth="1"/>
    <col min="2569" max="2569" width="4.125" style="77" customWidth="1"/>
    <col min="2570" max="2570" width="10.125" style="77" customWidth="1"/>
    <col min="2571" max="2571" width="4.5" style="77" customWidth="1"/>
    <col min="2572" max="2572" width="4.75" style="77" customWidth="1"/>
    <col min="2573" max="2573" width="4.5" style="77" customWidth="1"/>
    <col min="2574" max="2574" width="8.5" style="77" customWidth="1"/>
    <col min="2575" max="2575" width="8.375" style="77" customWidth="1"/>
    <col min="2576" max="2576" width="8.5" style="77" customWidth="1"/>
    <col min="2577" max="2577" width="10.375" style="77" customWidth="1"/>
    <col min="2578" max="2578" width="10.125" style="77" customWidth="1"/>
    <col min="2579" max="2579" width="10.25" style="77" customWidth="1"/>
    <col min="2580" max="2820" width="9" style="77"/>
    <col min="2821" max="2821" width="3.75" style="77" customWidth="1"/>
    <col min="2822" max="2822" width="28.25" style="77" customWidth="1"/>
    <col min="2823" max="2823" width="6.75" style="77" customWidth="1"/>
    <col min="2824" max="2824" width="5.875" style="77" customWidth="1"/>
    <col min="2825" max="2825" width="4.125" style="77" customWidth="1"/>
    <col min="2826" max="2826" width="10.125" style="77" customWidth="1"/>
    <col min="2827" max="2827" width="4.5" style="77" customWidth="1"/>
    <col min="2828" max="2828" width="4.75" style="77" customWidth="1"/>
    <col min="2829" max="2829" width="4.5" style="77" customWidth="1"/>
    <col min="2830" max="2830" width="8.5" style="77" customWidth="1"/>
    <col min="2831" max="2831" width="8.375" style="77" customWidth="1"/>
    <col min="2832" max="2832" width="8.5" style="77" customWidth="1"/>
    <col min="2833" max="2833" width="10.375" style="77" customWidth="1"/>
    <col min="2834" max="2834" width="10.125" style="77" customWidth="1"/>
    <col min="2835" max="2835" width="10.25" style="77" customWidth="1"/>
    <col min="2836" max="3076" width="9" style="77"/>
    <col min="3077" max="3077" width="3.75" style="77" customWidth="1"/>
    <col min="3078" max="3078" width="28.25" style="77" customWidth="1"/>
    <col min="3079" max="3079" width="6.75" style="77" customWidth="1"/>
    <col min="3080" max="3080" width="5.875" style="77" customWidth="1"/>
    <col min="3081" max="3081" width="4.125" style="77" customWidth="1"/>
    <col min="3082" max="3082" width="10.125" style="77" customWidth="1"/>
    <col min="3083" max="3083" width="4.5" style="77" customWidth="1"/>
    <col min="3084" max="3084" width="4.75" style="77" customWidth="1"/>
    <col min="3085" max="3085" width="4.5" style="77" customWidth="1"/>
    <col min="3086" max="3086" width="8.5" style="77" customWidth="1"/>
    <col min="3087" max="3087" width="8.375" style="77" customWidth="1"/>
    <col min="3088" max="3088" width="8.5" style="77" customWidth="1"/>
    <col min="3089" max="3089" width="10.375" style="77" customWidth="1"/>
    <col min="3090" max="3090" width="10.125" style="77" customWidth="1"/>
    <col min="3091" max="3091" width="10.25" style="77" customWidth="1"/>
    <col min="3092" max="3332" width="9" style="77"/>
    <col min="3333" max="3333" width="3.75" style="77" customWidth="1"/>
    <col min="3334" max="3334" width="28.25" style="77" customWidth="1"/>
    <col min="3335" max="3335" width="6.75" style="77" customWidth="1"/>
    <col min="3336" max="3336" width="5.875" style="77" customWidth="1"/>
    <col min="3337" max="3337" width="4.125" style="77" customWidth="1"/>
    <col min="3338" max="3338" width="10.125" style="77" customWidth="1"/>
    <col min="3339" max="3339" width="4.5" style="77" customWidth="1"/>
    <col min="3340" max="3340" width="4.75" style="77" customWidth="1"/>
    <col min="3341" max="3341" width="4.5" style="77" customWidth="1"/>
    <col min="3342" max="3342" width="8.5" style="77" customWidth="1"/>
    <col min="3343" max="3343" width="8.375" style="77" customWidth="1"/>
    <col min="3344" max="3344" width="8.5" style="77" customWidth="1"/>
    <col min="3345" max="3345" width="10.375" style="77" customWidth="1"/>
    <col min="3346" max="3346" width="10.125" style="77" customWidth="1"/>
    <col min="3347" max="3347" width="10.25" style="77" customWidth="1"/>
    <col min="3348" max="3588" width="9" style="77"/>
    <col min="3589" max="3589" width="3.75" style="77" customWidth="1"/>
    <col min="3590" max="3590" width="28.25" style="77" customWidth="1"/>
    <col min="3591" max="3591" width="6.75" style="77" customWidth="1"/>
    <col min="3592" max="3592" width="5.875" style="77" customWidth="1"/>
    <col min="3593" max="3593" width="4.125" style="77" customWidth="1"/>
    <col min="3594" max="3594" width="10.125" style="77" customWidth="1"/>
    <col min="3595" max="3595" width="4.5" style="77" customWidth="1"/>
    <col min="3596" max="3596" width="4.75" style="77" customWidth="1"/>
    <col min="3597" max="3597" width="4.5" style="77" customWidth="1"/>
    <col min="3598" max="3598" width="8.5" style="77" customWidth="1"/>
    <col min="3599" max="3599" width="8.375" style="77" customWidth="1"/>
    <col min="3600" max="3600" width="8.5" style="77" customWidth="1"/>
    <col min="3601" max="3601" width="10.375" style="77" customWidth="1"/>
    <col min="3602" max="3602" width="10.125" style="77" customWidth="1"/>
    <col min="3603" max="3603" width="10.25" style="77" customWidth="1"/>
    <col min="3604" max="3844" width="9" style="77"/>
    <col min="3845" max="3845" width="3.75" style="77" customWidth="1"/>
    <col min="3846" max="3846" width="28.25" style="77" customWidth="1"/>
    <col min="3847" max="3847" width="6.75" style="77" customWidth="1"/>
    <col min="3848" max="3848" width="5.875" style="77" customWidth="1"/>
    <col min="3849" max="3849" width="4.125" style="77" customWidth="1"/>
    <col min="3850" max="3850" width="10.125" style="77" customWidth="1"/>
    <col min="3851" max="3851" width="4.5" style="77" customWidth="1"/>
    <col min="3852" max="3852" width="4.75" style="77" customWidth="1"/>
    <col min="3853" max="3853" width="4.5" style="77" customWidth="1"/>
    <col min="3854" max="3854" width="8.5" style="77" customWidth="1"/>
    <col min="3855" max="3855" width="8.375" style="77" customWidth="1"/>
    <col min="3856" max="3856" width="8.5" style="77" customWidth="1"/>
    <col min="3857" max="3857" width="10.375" style="77" customWidth="1"/>
    <col min="3858" max="3858" width="10.125" style="77" customWidth="1"/>
    <col min="3859" max="3859" width="10.25" style="77" customWidth="1"/>
    <col min="3860" max="4100" width="9" style="77"/>
    <col min="4101" max="4101" width="3.75" style="77" customWidth="1"/>
    <col min="4102" max="4102" width="28.25" style="77" customWidth="1"/>
    <col min="4103" max="4103" width="6.75" style="77" customWidth="1"/>
    <col min="4104" max="4104" width="5.875" style="77" customWidth="1"/>
    <col min="4105" max="4105" width="4.125" style="77" customWidth="1"/>
    <col min="4106" max="4106" width="10.125" style="77" customWidth="1"/>
    <col min="4107" max="4107" width="4.5" style="77" customWidth="1"/>
    <col min="4108" max="4108" width="4.75" style="77" customWidth="1"/>
    <col min="4109" max="4109" width="4.5" style="77" customWidth="1"/>
    <col min="4110" max="4110" width="8.5" style="77" customWidth="1"/>
    <col min="4111" max="4111" width="8.375" style="77" customWidth="1"/>
    <col min="4112" max="4112" width="8.5" style="77" customWidth="1"/>
    <col min="4113" max="4113" width="10.375" style="77" customWidth="1"/>
    <col min="4114" max="4114" width="10.125" style="77" customWidth="1"/>
    <col min="4115" max="4115" width="10.25" style="77" customWidth="1"/>
    <col min="4116" max="4356" width="9" style="77"/>
    <col min="4357" max="4357" width="3.75" style="77" customWidth="1"/>
    <col min="4358" max="4358" width="28.25" style="77" customWidth="1"/>
    <col min="4359" max="4359" width="6.75" style="77" customWidth="1"/>
    <col min="4360" max="4360" width="5.875" style="77" customWidth="1"/>
    <col min="4361" max="4361" width="4.125" style="77" customWidth="1"/>
    <col min="4362" max="4362" width="10.125" style="77" customWidth="1"/>
    <col min="4363" max="4363" width="4.5" style="77" customWidth="1"/>
    <col min="4364" max="4364" width="4.75" style="77" customWidth="1"/>
    <col min="4365" max="4365" width="4.5" style="77" customWidth="1"/>
    <col min="4366" max="4366" width="8.5" style="77" customWidth="1"/>
    <col min="4367" max="4367" width="8.375" style="77" customWidth="1"/>
    <col min="4368" max="4368" width="8.5" style="77" customWidth="1"/>
    <col min="4369" max="4369" width="10.375" style="77" customWidth="1"/>
    <col min="4370" max="4370" width="10.125" style="77" customWidth="1"/>
    <col min="4371" max="4371" width="10.25" style="77" customWidth="1"/>
    <col min="4372" max="4612" width="9" style="77"/>
    <col min="4613" max="4613" width="3.75" style="77" customWidth="1"/>
    <col min="4614" max="4614" width="28.25" style="77" customWidth="1"/>
    <col min="4615" max="4615" width="6.75" style="77" customWidth="1"/>
    <col min="4616" max="4616" width="5.875" style="77" customWidth="1"/>
    <col min="4617" max="4617" width="4.125" style="77" customWidth="1"/>
    <col min="4618" max="4618" width="10.125" style="77" customWidth="1"/>
    <col min="4619" max="4619" width="4.5" style="77" customWidth="1"/>
    <col min="4620" max="4620" width="4.75" style="77" customWidth="1"/>
    <col min="4621" max="4621" width="4.5" style="77" customWidth="1"/>
    <col min="4622" max="4622" width="8.5" style="77" customWidth="1"/>
    <col min="4623" max="4623" width="8.375" style="77" customWidth="1"/>
    <col min="4624" max="4624" width="8.5" style="77" customWidth="1"/>
    <col min="4625" max="4625" width="10.375" style="77" customWidth="1"/>
    <col min="4626" max="4626" width="10.125" style="77" customWidth="1"/>
    <col min="4627" max="4627" width="10.25" style="77" customWidth="1"/>
    <col min="4628" max="4868" width="9" style="77"/>
    <col min="4869" max="4869" width="3.75" style="77" customWidth="1"/>
    <col min="4870" max="4870" width="28.25" style="77" customWidth="1"/>
    <col min="4871" max="4871" width="6.75" style="77" customWidth="1"/>
    <col min="4872" max="4872" width="5.875" style="77" customWidth="1"/>
    <col min="4873" max="4873" width="4.125" style="77" customWidth="1"/>
    <col min="4874" max="4874" width="10.125" style="77" customWidth="1"/>
    <col min="4875" max="4875" width="4.5" style="77" customWidth="1"/>
    <col min="4876" max="4876" width="4.75" style="77" customWidth="1"/>
    <col min="4877" max="4877" width="4.5" style="77" customWidth="1"/>
    <col min="4878" max="4878" width="8.5" style="77" customWidth="1"/>
    <col min="4879" max="4879" width="8.375" style="77" customWidth="1"/>
    <col min="4880" max="4880" width="8.5" style="77" customWidth="1"/>
    <col min="4881" max="4881" width="10.375" style="77" customWidth="1"/>
    <col min="4882" max="4882" width="10.125" style="77" customWidth="1"/>
    <col min="4883" max="4883" width="10.25" style="77" customWidth="1"/>
    <col min="4884" max="5124" width="9" style="77"/>
    <col min="5125" max="5125" width="3.75" style="77" customWidth="1"/>
    <col min="5126" max="5126" width="28.25" style="77" customWidth="1"/>
    <col min="5127" max="5127" width="6.75" style="77" customWidth="1"/>
    <col min="5128" max="5128" width="5.875" style="77" customWidth="1"/>
    <col min="5129" max="5129" width="4.125" style="77" customWidth="1"/>
    <col min="5130" max="5130" width="10.125" style="77" customWidth="1"/>
    <col min="5131" max="5131" width="4.5" style="77" customWidth="1"/>
    <col min="5132" max="5132" width="4.75" style="77" customWidth="1"/>
    <col min="5133" max="5133" width="4.5" style="77" customWidth="1"/>
    <col min="5134" max="5134" width="8.5" style="77" customWidth="1"/>
    <col min="5135" max="5135" width="8.375" style="77" customWidth="1"/>
    <col min="5136" max="5136" width="8.5" style="77" customWidth="1"/>
    <col min="5137" max="5137" width="10.375" style="77" customWidth="1"/>
    <col min="5138" max="5138" width="10.125" style="77" customWidth="1"/>
    <col min="5139" max="5139" width="10.25" style="77" customWidth="1"/>
    <col min="5140" max="5380" width="9" style="77"/>
    <col min="5381" max="5381" width="3.75" style="77" customWidth="1"/>
    <col min="5382" max="5382" width="28.25" style="77" customWidth="1"/>
    <col min="5383" max="5383" width="6.75" style="77" customWidth="1"/>
    <col min="5384" max="5384" width="5.875" style="77" customWidth="1"/>
    <col min="5385" max="5385" width="4.125" style="77" customWidth="1"/>
    <col min="5386" max="5386" width="10.125" style="77" customWidth="1"/>
    <col min="5387" max="5387" width="4.5" style="77" customWidth="1"/>
    <col min="5388" max="5388" width="4.75" style="77" customWidth="1"/>
    <col min="5389" max="5389" width="4.5" style="77" customWidth="1"/>
    <col min="5390" max="5390" width="8.5" style="77" customWidth="1"/>
    <col min="5391" max="5391" width="8.375" style="77" customWidth="1"/>
    <col min="5392" max="5392" width="8.5" style="77" customWidth="1"/>
    <col min="5393" max="5393" width="10.375" style="77" customWidth="1"/>
    <col min="5394" max="5394" width="10.125" style="77" customWidth="1"/>
    <col min="5395" max="5395" width="10.25" style="77" customWidth="1"/>
    <col min="5396" max="5636" width="9" style="77"/>
    <col min="5637" max="5637" width="3.75" style="77" customWidth="1"/>
    <col min="5638" max="5638" width="28.25" style="77" customWidth="1"/>
    <col min="5639" max="5639" width="6.75" style="77" customWidth="1"/>
    <col min="5640" max="5640" width="5.875" style="77" customWidth="1"/>
    <col min="5641" max="5641" width="4.125" style="77" customWidth="1"/>
    <col min="5642" max="5642" width="10.125" style="77" customWidth="1"/>
    <col min="5643" max="5643" width="4.5" style="77" customWidth="1"/>
    <col min="5644" max="5644" width="4.75" style="77" customWidth="1"/>
    <col min="5645" max="5645" width="4.5" style="77" customWidth="1"/>
    <col min="5646" max="5646" width="8.5" style="77" customWidth="1"/>
    <col min="5647" max="5647" width="8.375" style="77" customWidth="1"/>
    <col min="5648" max="5648" width="8.5" style="77" customWidth="1"/>
    <col min="5649" max="5649" width="10.375" style="77" customWidth="1"/>
    <col min="5650" max="5650" width="10.125" style="77" customWidth="1"/>
    <col min="5651" max="5651" width="10.25" style="77" customWidth="1"/>
    <col min="5652" max="5892" width="9" style="77"/>
    <col min="5893" max="5893" width="3.75" style="77" customWidth="1"/>
    <col min="5894" max="5894" width="28.25" style="77" customWidth="1"/>
    <col min="5895" max="5895" width="6.75" style="77" customWidth="1"/>
    <col min="5896" max="5896" width="5.875" style="77" customWidth="1"/>
    <col min="5897" max="5897" width="4.125" style="77" customWidth="1"/>
    <col min="5898" max="5898" width="10.125" style="77" customWidth="1"/>
    <col min="5899" max="5899" width="4.5" style="77" customWidth="1"/>
    <col min="5900" max="5900" width="4.75" style="77" customWidth="1"/>
    <col min="5901" max="5901" width="4.5" style="77" customWidth="1"/>
    <col min="5902" max="5902" width="8.5" style="77" customWidth="1"/>
    <col min="5903" max="5903" width="8.375" style="77" customWidth="1"/>
    <col min="5904" max="5904" width="8.5" style="77" customWidth="1"/>
    <col min="5905" max="5905" width="10.375" style="77" customWidth="1"/>
    <col min="5906" max="5906" width="10.125" style="77" customWidth="1"/>
    <col min="5907" max="5907" width="10.25" style="77" customWidth="1"/>
    <col min="5908" max="6148" width="9" style="77"/>
    <col min="6149" max="6149" width="3.75" style="77" customWidth="1"/>
    <col min="6150" max="6150" width="28.25" style="77" customWidth="1"/>
    <col min="6151" max="6151" width="6.75" style="77" customWidth="1"/>
    <col min="6152" max="6152" width="5.875" style="77" customWidth="1"/>
    <col min="6153" max="6153" width="4.125" style="77" customWidth="1"/>
    <col min="6154" max="6154" width="10.125" style="77" customWidth="1"/>
    <col min="6155" max="6155" width="4.5" style="77" customWidth="1"/>
    <col min="6156" max="6156" width="4.75" style="77" customWidth="1"/>
    <col min="6157" max="6157" width="4.5" style="77" customWidth="1"/>
    <col min="6158" max="6158" width="8.5" style="77" customWidth="1"/>
    <col min="6159" max="6159" width="8.375" style="77" customWidth="1"/>
    <col min="6160" max="6160" width="8.5" style="77" customWidth="1"/>
    <col min="6161" max="6161" width="10.375" style="77" customWidth="1"/>
    <col min="6162" max="6162" width="10.125" style="77" customWidth="1"/>
    <col min="6163" max="6163" width="10.25" style="77" customWidth="1"/>
    <col min="6164" max="6404" width="9" style="77"/>
    <col min="6405" max="6405" width="3.75" style="77" customWidth="1"/>
    <col min="6406" max="6406" width="28.25" style="77" customWidth="1"/>
    <col min="6407" max="6407" width="6.75" style="77" customWidth="1"/>
    <col min="6408" max="6408" width="5.875" style="77" customWidth="1"/>
    <col min="6409" max="6409" width="4.125" style="77" customWidth="1"/>
    <col min="6410" max="6410" width="10.125" style="77" customWidth="1"/>
    <col min="6411" max="6411" width="4.5" style="77" customWidth="1"/>
    <col min="6412" max="6412" width="4.75" style="77" customWidth="1"/>
    <col min="6413" max="6413" width="4.5" style="77" customWidth="1"/>
    <col min="6414" max="6414" width="8.5" style="77" customWidth="1"/>
    <col min="6415" max="6415" width="8.375" style="77" customWidth="1"/>
    <col min="6416" max="6416" width="8.5" style="77" customWidth="1"/>
    <col min="6417" max="6417" width="10.375" style="77" customWidth="1"/>
    <col min="6418" max="6418" width="10.125" style="77" customWidth="1"/>
    <col min="6419" max="6419" width="10.25" style="77" customWidth="1"/>
    <col min="6420" max="6660" width="9" style="77"/>
    <col min="6661" max="6661" width="3.75" style="77" customWidth="1"/>
    <col min="6662" max="6662" width="28.25" style="77" customWidth="1"/>
    <col min="6663" max="6663" width="6.75" style="77" customWidth="1"/>
    <col min="6664" max="6664" width="5.875" style="77" customWidth="1"/>
    <col min="6665" max="6665" width="4.125" style="77" customWidth="1"/>
    <col min="6666" max="6666" width="10.125" style="77" customWidth="1"/>
    <col min="6667" max="6667" width="4.5" style="77" customWidth="1"/>
    <col min="6668" max="6668" width="4.75" style="77" customWidth="1"/>
    <col min="6669" max="6669" width="4.5" style="77" customWidth="1"/>
    <col min="6670" max="6670" width="8.5" style="77" customWidth="1"/>
    <col min="6671" max="6671" width="8.375" style="77" customWidth="1"/>
    <col min="6672" max="6672" width="8.5" style="77" customWidth="1"/>
    <col min="6673" max="6673" width="10.375" style="77" customWidth="1"/>
    <col min="6674" max="6674" width="10.125" style="77" customWidth="1"/>
    <col min="6675" max="6675" width="10.25" style="77" customWidth="1"/>
    <col min="6676" max="6916" width="9" style="77"/>
    <col min="6917" max="6917" width="3.75" style="77" customWidth="1"/>
    <col min="6918" max="6918" width="28.25" style="77" customWidth="1"/>
    <col min="6919" max="6919" width="6.75" style="77" customWidth="1"/>
    <col min="6920" max="6920" width="5.875" style="77" customWidth="1"/>
    <col min="6921" max="6921" width="4.125" style="77" customWidth="1"/>
    <col min="6922" max="6922" width="10.125" style="77" customWidth="1"/>
    <col min="6923" max="6923" width="4.5" style="77" customWidth="1"/>
    <col min="6924" max="6924" width="4.75" style="77" customWidth="1"/>
    <col min="6925" max="6925" width="4.5" style="77" customWidth="1"/>
    <col min="6926" max="6926" width="8.5" style="77" customWidth="1"/>
    <col min="6927" max="6927" width="8.375" style="77" customWidth="1"/>
    <col min="6928" max="6928" width="8.5" style="77" customWidth="1"/>
    <col min="6929" max="6929" width="10.375" style="77" customWidth="1"/>
    <col min="6930" max="6930" width="10.125" style="77" customWidth="1"/>
    <col min="6931" max="6931" width="10.25" style="77" customWidth="1"/>
    <col min="6932" max="7172" width="9" style="77"/>
    <col min="7173" max="7173" width="3.75" style="77" customWidth="1"/>
    <col min="7174" max="7174" width="28.25" style="77" customWidth="1"/>
    <col min="7175" max="7175" width="6.75" style="77" customWidth="1"/>
    <col min="7176" max="7176" width="5.875" style="77" customWidth="1"/>
    <col min="7177" max="7177" width="4.125" style="77" customWidth="1"/>
    <col min="7178" max="7178" width="10.125" style="77" customWidth="1"/>
    <col min="7179" max="7179" width="4.5" style="77" customWidth="1"/>
    <col min="7180" max="7180" width="4.75" style="77" customWidth="1"/>
    <col min="7181" max="7181" width="4.5" style="77" customWidth="1"/>
    <col min="7182" max="7182" width="8.5" style="77" customWidth="1"/>
    <col min="7183" max="7183" width="8.375" style="77" customWidth="1"/>
    <col min="7184" max="7184" width="8.5" style="77" customWidth="1"/>
    <col min="7185" max="7185" width="10.375" style="77" customWidth="1"/>
    <col min="7186" max="7186" width="10.125" style="77" customWidth="1"/>
    <col min="7187" max="7187" width="10.25" style="77" customWidth="1"/>
    <col min="7188" max="7428" width="9" style="77"/>
    <col min="7429" max="7429" width="3.75" style="77" customWidth="1"/>
    <col min="7430" max="7430" width="28.25" style="77" customWidth="1"/>
    <col min="7431" max="7431" width="6.75" style="77" customWidth="1"/>
    <col min="7432" max="7432" width="5.875" style="77" customWidth="1"/>
    <col min="7433" max="7433" width="4.125" style="77" customWidth="1"/>
    <col min="7434" max="7434" width="10.125" style="77" customWidth="1"/>
    <col min="7435" max="7435" width="4.5" style="77" customWidth="1"/>
    <col min="7436" max="7436" width="4.75" style="77" customWidth="1"/>
    <col min="7437" max="7437" width="4.5" style="77" customWidth="1"/>
    <col min="7438" max="7438" width="8.5" style="77" customWidth="1"/>
    <col min="7439" max="7439" width="8.375" style="77" customWidth="1"/>
    <col min="7440" max="7440" width="8.5" style="77" customWidth="1"/>
    <col min="7441" max="7441" width="10.375" style="77" customWidth="1"/>
    <col min="7442" max="7442" width="10.125" style="77" customWidth="1"/>
    <col min="7443" max="7443" width="10.25" style="77" customWidth="1"/>
    <col min="7444" max="7684" width="9" style="77"/>
    <col min="7685" max="7685" width="3.75" style="77" customWidth="1"/>
    <col min="7686" max="7686" width="28.25" style="77" customWidth="1"/>
    <col min="7687" max="7687" width="6.75" style="77" customWidth="1"/>
    <col min="7688" max="7688" width="5.875" style="77" customWidth="1"/>
    <col min="7689" max="7689" width="4.125" style="77" customWidth="1"/>
    <col min="7690" max="7690" width="10.125" style="77" customWidth="1"/>
    <col min="7691" max="7691" width="4.5" style="77" customWidth="1"/>
    <col min="7692" max="7692" width="4.75" style="77" customWidth="1"/>
    <col min="7693" max="7693" width="4.5" style="77" customWidth="1"/>
    <col min="7694" max="7694" width="8.5" style="77" customWidth="1"/>
    <col min="7695" max="7695" width="8.375" style="77" customWidth="1"/>
    <col min="7696" max="7696" width="8.5" style="77" customWidth="1"/>
    <col min="7697" max="7697" width="10.375" style="77" customWidth="1"/>
    <col min="7698" max="7698" width="10.125" style="77" customWidth="1"/>
    <col min="7699" max="7699" width="10.25" style="77" customWidth="1"/>
    <col min="7700" max="7940" width="9" style="77"/>
    <col min="7941" max="7941" width="3.75" style="77" customWidth="1"/>
    <col min="7942" max="7942" width="28.25" style="77" customWidth="1"/>
    <col min="7943" max="7943" width="6.75" style="77" customWidth="1"/>
    <col min="7944" max="7944" width="5.875" style="77" customWidth="1"/>
    <col min="7945" max="7945" width="4.125" style="77" customWidth="1"/>
    <col min="7946" max="7946" width="10.125" style="77" customWidth="1"/>
    <col min="7947" max="7947" width="4.5" style="77" customWidth="1"/>
    <col min="7948" max="7948" width="4.75" style="77" customWidth="1"/>
    <col min="7949" max="7949" width="4.5" style="77" customWidth="1"/>
    <col min="7950" max="7950" width="8.5" style="77" customWidth="1"/>
    <col min="7951" max="7951" width="8.375" style="77" customWidth="1"/>
    <col min="7952" max="7952" width="8.5" style="77" customWidth="1"/>
    <col min="7953" max="7953" width="10.375" style="77" customWidth="1"/>
    <col min="7954" max="7954" width="10.125" style="77" customWidth="1"/>
    <col min="7955" max="7955" width="10.25" style="77" customWidth="1"/>
    <col min="7956" max="8196" width="9" style="77"/>
    <col min="8197" max="8197" width="3.75" style="77" customWidth="1"/>
    <col min="8198" max="8198" width="28.25" style="77" customWidth="1"/>
    <col min="8199" max="8199" width="6.75" style="77" customWidth="1"/>
    <col min="8200" max="8200" width="5.875" style="77" customWidth="1"/>
    <col min="8201" max="8201" width="4.125" style="77" customWidth="1"/>
    <col min="8202" max="8202" width="10.125" style="77" customWidth="1"/>
    <col min="8203" max="8203" width="4.5" style="77" customWidth="1"/>
    <col min="8204" max="8204" width="4.75" style="77" customWidth="1"/>
    <col min="8205" max="8205" width="4.5" style="77" customWidth="1"/>
    <col min="8206" max="8206" width="8.5" style="77" customWidth="1"/>
    <col min="8207" max="8207" width="8.375" style="77" customWidth="1"/>
    <col min="8208" max="8208" width="8.5" style="77" customWidth="1"/>
    <col min="8209" max="8209" width="10.375" style="77" customWidth="1"/>
    <col min="8210" max="8210" width="10.125" style="77" customWidth="1"/>
    <col min="8211" max="8211" width="10.25" style="77" customWidth="1"/>
    <col min="8212" max="8452" width="9" style="77"/>
    <col min="8453" max="8453" width="3.75" style="77" customWidth="1"/>
    <col min="8454" max="8454" width="28.25" style="77" customWidth="1"/>
    <col min="8455" max="8455" width="6.75" style="77" customWidth="1"/>
    <col min="8456" max="8456" width="5.875" style="77" customWidth="1"/>
    <col min="8457" max="8457" width="4.125" style="77" customWidth="1"/>
    <col min="8458" max="8458" width="10.125" style="77" customWidth="1"/>
    <col min="8459" max="8459" width="4.5" style="77" customWidth="1"/>
    <col min="8460" max="8460" width="4.75" style="77" customWidth="1"/>
    <col min="8461" max="8461" width="4.5" style="77" customWidth="1"/>
    <col min="8462" max="8462" width="8.5" style="77" customWidth="1"/>
    <col min="8463" max="8463" width="8.375" style="77" customWidth="1"/>
    <col min="8464" max="8464" width="8.5" style="77" customWidth="1"/>
    <col min="8465" max="8465" width="10.375" style="77" customWidth="1"/>
    <col min="8466" max="8466" width="10.125" style="77" customWidth="1"/>
    <col min="8467" max="8467" width="10.25" style="77" customWidth="1"/>
    <col min="8468" max="8708" width="9" style="77"/>
    <col min="8709" max="8709" width="3.75" style="77" customWidth="1"/>
    <col min="8710" max="8710" width="28.25" style="77" customWidth="1"/>
    <col min="8711" max="8711" width="6.75" style="77" customWidth="1"/>
    <col min="8712" max="8712" width="5.875" style="77" customWidth="1"/>
    <col min="8713" max="8713" width="4.125" style="77" customWidth="1"/>
    <col min="8714" max="8714" width="10.125" style="77" customWidth="1"/>
    <col min="8715" max="8715" width="4.5" style="77" customWidth="1"/>
    <col min="8716" max="8716" width="4.75" style="77" customWidth="1"/>
    <col min="8717" max="8717" width="4.5" style="77" customWidth="1"/>
    <col min="8718" max="8718" width="8.5" style="77" customWidth="1"/>
    <col min="8719" max="8719" width="8.375" style="77" customWidth="1"/>
    <col min="8720" max="8720" width="8.5" style="77" customWidth="1"/>
    <col min="8721" max="8721" width="10.375" style="77" customWidth="1"/>
    <col min="8722" max="8722" width="10.125" style="77" customWidth="1"/>
    <col min="8723" max="8723" width="10.25" style="77" customWidth="1"/>
    <col min="8724" max="8964" width="9" style="77"/>
    <col min="8965" max="8965" width="3.75" style="77" customWidth="1"/>
    <col min="8966" max="8966" width="28.25" style="77" customWidth="1"/>
    <col min="8967" max="8967" width="6.75" style="77" customWidth="1"/>
    <col min="8968" max="8968" width="5.875" style="77" customWidth="1"/>
    <col min="8969" max="8969" width="4.125" style="77" customWidth="1"/>
    <col min="8970" max="8970" width="10.125" style="77" customWidth="1"/>
    <col min="8971" max="8971" width="4.5" style="77" customWidth="1"/>
    <col min="8972" max="8972" width="4.75" style="77" customWidth="1"/>
    <col min="8973" max="8973" width="4.5" style="77" customWidth="1"/>
    <col min="8974" max="8974" width="8.5" style="77" customWidth="1"/>
    <col min="8975" max="8975" width="8.375" style="77" customWidth="1"/>
    <col min="8976" max="8976" width="8.5" style="77" customWidth="1"/>
    <col min="8977" max="8977" width="10.375" style="77" customWidth="1"/>
    <col min="8978" max="8978" width="10.125" style="77" customWidth="1"/>
    <col min="8979" max="8979" width="10.25" style="77" customWidth="1"/>
    <col min="8980" max="9220" width="9" style="77"/>
    <col min="9221" max="9221" width="3.75" style="77" customWidth="1"/>
    <col min="9222" max="9222" width="28.25" style="77" customWidth="1"/>
    <col min="9223" max="9223" width="6.75" style="77" customWidth="1"/>
    <col min="9224" max="9224" width="5.875" style="77" customWidth="1"/>
    <col min="9225" max="9225" width="4.125" style="77" customWidth="1"/>
    <col min="9226" max="9226" width="10.125" style="77" customWidth="1"/>
    <col min="9227" max="9227" width="4.5" style="77" customWidth="1"/>
    <col min="9228" max="9228" width="4.75" style="77" customWidth="1"/>
    <col min="9229" max="9229" width="4.5" style="77" customWidth="1"/>
    <col min="9230" max="9230" width="8.5" style="77" customWidth="1"/>
    <col min="9231" max="9231" width="8.375" style="77" customWidth="1"/>
    <col min="9232" max="9232" width="8.5" style="77" customWidth="1"/>
    <col min="9233" max="9233" width="10.375" style="77" customWidth="1"/>
    <col min="9234" max="9234" width="10.125" style="77" customWidth="1"/>
    <col min="9235" max="9235" width="10.25" style="77" customWidth="1"/>
    <col min="9236" max="9476" width="9" style="77"/>
    <col min="9477" max="9477" width="3.75" style="77" customWidth="1"/>
    <col min="9478" max="9478" width="28.25" style="77" customWidth="1"/>
    <col min="9479" max="9479" width="6.75" style="77" customWidth="1"/>
    <col min="9480" max="9480" width="5.875" style="77" customWidth="1"/>
    <col min="9481" max="9481" width="4.125" style="77" customWidth="1"/>
    <col min="9482" max="9482" width="10.125" style="77" customWidth="1"/>
    <col min="9483" max="9483" width="4.5" style="77" customWidth="1"/>
    <col min="9484" max="9484" width="4.75" style="77" customWidth="1"/>
    <col min="9485" max="9485" width="4.5" style="77" customWidth="1"/>
    <col min="9486" max="9486" width="8.5" style="77" customWidth="1"/>
    <col min="9487" max="9487" width="8.375" style="77" customWidth="1"/>
    <col min="9488" max="9488" width="8.5" style="77" customWidth="1"/>
    <col min="9489" max="9489" width="10.375" style="77" customWidth="1"/>
    <col min="9490" max="9490" width="10.125" style="77" customWidth="1"/>
    <col min="9491" max="9491" width="10.25" style="77" customWidth="1"/>
    <col min="9492" max="9732" width="9" style="77"/>
    <col min="9733" max="9733" width="3.75" style="77" customWidth="1"/>
    <col min="9734" max="9734" width="28.25" style="77" customWidth="1"/>
    <col min="9735" max="9735" width="6.75" style="77" customWidth="1"/>
    <col min="9736" max="9736" width="5.875" style="77" customWidth="1"/>
    <col min="9737" max="9737" width="4.125" style="77" customWidth="1"/>
    <col min="9738" max="9738" width="10.125" style="77" customWidth="1"/>
    <col min="9739" max="9739" width="4.5" style="77" customWidth="1"/>
    <col min="9740" max="9740" width="4.75" style="77" customWidth="1"/>
    <col min="9741" max="9741" width="4.5" style="77" customWidth="1"/>
    <col min="9742" max="9742" width="8.5" style="77" customWidth="1"/>
    <col min="9743" max="9743" width="8.375" style="77" customWidth="1"/>
    <col min="9744" max="9744" width="8.5" style="77" customWidth="1"/>
    <col min="9745" max="9745" width="10.375" style="77" customWidth="1"/>
    <col min="9746" max="9746" width="10.125" style="77" customWidth="1"/>
    <col min="9747" max="9747" width="10.25" style="77" customWidth="1"/>
    <col min="9748" max="9988" width="9" style="77"/>
    <col min="9989" max="9989" width="3.75" style="77" customWidth="1"/>
    <col min="9990" max="9990" width="28.25" style="77" customWidth="1"/>
    <col min="9991" max="9991" width="6.75" style="77" customWidth="1"/>
    <col min="9992" max="9992" width="5.875" style="77" customWidth="1"/>
    <col min="9993" max="9993" width="4.125" style="77" customWidth="1"/>
    <col min="9994" max="9994" width="10.125" style="77" customWidth="1"/>
    <col min="9995" max="9995" width="4.5" style="77" customWidth="1"/>
    <col min="9996" max="9996" width="4.75" style="77" customWidth="1"/>
    <col min="9997" max="9997" width="4.5" style="77" customWidth="1"/>
    <col min="9998" max="9998" width="8.5" style="77" customWidth="1"/>
    <col min="9999" max="9999" width="8.375" style="77" customWidth="1"/>
    <col min="10000" max="10000" width="8.5" style="77" customWidth="1"/>
    <col min="10001" max="10001" width="10.375" style="77" customWidth="1"/>
    <col min="10002" max="10002" width="10.125" style="77" customWidth="1"/>
    <col min="10003" max="10003" width="10.25" style="77" customWidth="1"/>
    <col min="10004" max="10244" width="9" style="77"/>
    <col min="10245" max="10245" width="3.75" style="77" customWidth="1"/>
    <col min="10246" max="10246" width="28.25" style="77" customWidth="1"/>
    <col min="10247" max="10247" width="6.75" style="77" customWidth="1"/>
    <col min="10248" max="10248" width="5.875" style="77" customWidth="1"/>
    <col min="10249" max="10249" width="4.125" style="77" customWidth="1"/>
    <col min="10250" max="10250" width="10.125" style="77" customWidth="1"/>
    <col min="10251" max="10251" width="4.5" style="77" customWidth="1"/>
    <col min="10252" max="10252" width="4.75" style="77" customWidth="1"/>
    <col min="10253" max="10253" width="4.5" style="77" customWidth="1"/>
    <col min="10254" max="10254" width="8.5" style="77" customWidth="1"/>
    <col min="10255" max="10255" width="8.375" style="77" customWidth="1"/>
    <col min="10256" max="10256" width="8.5" style="77" customWidth="1"/>
    <col min="10257" max="10257" width="10.375" style="77" customWidth="1"/>
    <col min="10258" max="10258" width="10.125" style="77" customWidth="1"/>
    <col min="10259" max="10259" width="10.25" style="77" customWidth="1"/>
    <col min="10260" max="10500" width="9" style="77"/>
    <col min="10501" max="10501" width="3.75" style="77" customWidth="1"/>
    <col min="10502" max="10502" width="28.25" style="77" customWidth="1"/>
    <col min="10503" max="10503" width="6.75" style="77" customWidth="1"/>
    <col min="10504" max="10504" width="5.875" style="77" customWidth="1"/>
    <col min="10505" max="10505" width="4.125" style="77" customWidth="1"/>
    <col min="10506" max="10506" width="10.125" style="77" customWidth="1"/>
    <col min="10507" max="10507" width="4.5" style="77" customWidth="1"/>
    <col min="10508" max="10508" width="4.75" style="77" customWidth="1"/>
    <col min="10509" max="10509" width="4.5" style="77" customWidth="1"/>
    <col min="10510" max="10510" width="8.5" style="77" customWidth="1"/>
    <col min="10511" max="10511" width="8.375" style="77" customWidth="1"/>
    <col min="10512" max="10512" width="8.5" style="77" customWidth="1"/>
    <col min="10513" max="10513" width="10.375" style="77" customWidth="1"/>
    <col min="10514" max="10514" width="10.125" style="77" customWidth="1"/>
    <col min="10515" max="10515" width="10.25" style="77" customWidth="1"/>
    <col min="10516" max="10756" width="9" style="77"/>
    <col min="10757" max="10757" width="3.75" style="77" customWidth="1"/>
    <col min="10758" max="10758" width="28.25" style="77" customWidth="1"/>
    <col min="10759" max="10759" width="6.75" style="77" customWidth="1"/>
    <col min="10760" max="10760" width="5.875" style="77" customWidth="1"/>
    <col min="10761" max="10761" width="4.125" style="77" customWidth="1"/>
    <col min="10762" max="10762" width="10.125" style="77" customWidth="1"/>
    <col min="10763" max="10763" width="4.5" style="77" customWidth="1"/>
    <col min="10764" max="10764" width="4.75" style="77" customWidth="1"/>
    <col min="10765" max="10765" width="4.5" style="77" customWidth="1"/>
    <col min="10766" max="10766" width="8.5" style="77" customWidth="1"/>
    <col min="10767" max="10767" width="8.375" style="77" customWidth="1"/>
    <col min="10768" max="10768" width="8.5" style="77" customWidth="1"/>
    <col min="10769" max="10769" width="10.375" style="77" customWidth="1"/>
    <col min="10770" max="10770" width="10.125" style="77" customWidth="1"/>
    <col min="10771" max="10771" width="10.25" style="77" customWidth="1"/>
    <col min="10772" max="11012" width="9" style="77"/>
    <col min="11013" max="11013" width="3.75" style="77" customWidth="1"/>
    <col min="11014" max="11014" width="28.25" style="77" customWidth="1"/>
    <col min="11015" max="11015" width="6.75" style="77" customWidth="1"/>
    <col min="11016" max="11016" width="5.875" style="77" customWidth="1"/>
    <col min="11017" max="11017" width="4.125" style="77" customWidth="1"/>
    <col min="11018" max="11018" width="10.125" style="77" customWidth="1"/>
    <col min="11019" max="11019" width="4.5" style="77" customWidth="1"/>
    <col min="11020" max="11020" width="4.75" style="77" customWidth="1"/>
    <col min="11021" max="11021" width="4.5" style="77" customWidth="1"/>
    <col min="11022" max="11022" width="8.5" style="77" customWidth="1"/>
    <col min="11023" max="11023" width="8.375" style="77" customWidth="1"/>
    <col min="11024" max="11024" width="8.5" style="77" customWidth="1"/>
    <col min="11025" max="11025" width="10.375" style="77" customWidth="1"/>
    <col min="11026" max="11026" width="10.125" style="77" customWidth="1"/>
    <col min="11027" max="11027" width="10.25" style="77" customWidth="1"/>
    <col min="11028" max="11268" width="9" style="77"/>
    <col min="11269" max="11269" width="3.75" style="77" customWidth="1"/>
    <col min="11270" max="11270" width="28.25" style="77" customWidth="1"/>
    <col min="11271" max="11271" width="6.75" style="77" customWidth="1"/>
    <col min="11272" max="11272" width="5.875" style="77" customWidth="1"/>
    <col min="11273" max="11273" width="4.125" style="77" customWidth="1"/>
    <col min="11274" max="11274" width="10.125" style="77" customWidth="1"/>
    <col min="11275" max="11275" width="4.5" style="77" customWidth="1"/>
    <col min="11276" max="11276" width="4.75" style="77" customWidth="1"/>
    <col min="11277" max="11277" width="4.5" style="77" customWidth="1"/>
    <col min="11278" max="11278" width="8.5" style="77" customWidth="1"/>
    <col min="11279" max="11279" width="8.375" style="77" customWidth="1"/>
    <col min="11280" max="11280" width="8.5" style="77" customWidth="1"/>
    <col min="11281" max="11281" width="10.375" style="77" customWidth="1"/>
    <col min="11282" max="11282" width="10.125" style="77" customWidth="1"/>
    <col min="11283" max="11283" width="10.25" style="77" customWidth="1"/>
    <col min="11284" max="11524" width="9" style="77"/>
    <col min="11525" max="11525" width="3.75" style="77" customWidth="1"/>
    <col min="11526" max="11526" width="28.25" style="77" customWidth="1"/>
    <col min="11527" max="11527" width="6.75" style="77" customWidth="1"/>
    <col min="11528" max="11528" width="5.875" style="77" customWidth="1"/>
    <col min="11529" max="11529" width="4.125" style="77" customWidth="1"/>
    <col min="11530" max="11530" width="10.125" style="77" customWidth="1"/>
    <col min="11531" max="11531" width="4.5" style="77" customWidth="1"/>
    <col min="11532" max="11532" width="4.75" style="77" customWidth="1"/>
    <col min="11533" max="11533" width="4.5" style="77" customWidth="1"/>
    <col min="11534" max="11534" width="8.5" style="77" customWidth="1"/>
    <col min="11535" max="11535" width="8.375" style="77" customWidth="1"/>
    <col min="11536" max="11536" width="8.5" style="77" customWidth="1"/>
    <col min="11537" max="11537" width="10.375" style="77" customWidth="1"/>
    <col min="11538" max="11538" width="10.125" style="77" customWidth="1"/>
    <col min="11539" max="11539" width="10.25" style="77" customWidth="1"/>
    <col min="11540" max="11780" width="9" style="77"/>
    <col min="11781" max="11781" width="3.75" style="77" customWidth="1"/>
    <col min="11782" max="11782" width="28.25" style="77" customWidth="1"/>
    <col min="11783" max="11783" width="6.75" style="77" customWidth="1"/>
    <col min="11784" max="11784" width="5.875" style="77" customWidth="1"/>
    <col min="11785" max="11785" width="4.125" style="77" customWidth="1"/>
    <col min="11786" max="11786" width="10.125" style="77" customWidth="1"/>
    <col min="11787" max="11787" width="4.5" style="77" customWidth="1"/>
    <col min="11788" max="11788" width="4.75" style="77" customWidth="1"/>
    <col min="11789" max="11789" width="4.5" style="77" customWidth="1"/>
    <col min="11790" max="11790" width="8.5" style="77" customWidth="1"/>
    <col min="11791" max="11791" width="8.375" style="77" customWidth="1"/>
    <col min="11792" max="11792" width="8.5" style="77" customWidth="1"/>
    <col min="11793" max="11793" width="10.375" style="77" customWidth="1"/>
    <col min="11794" max="11794" width="10.125" style="77" customWidth="1"/>
    <col min="11795" max="11795" width="10.25" style="77" customWidth="1"/>
    <col min="11796" max="12036" width="9" style="77"/>
    <col min="12037" max="12037" width="3.75" style="77" customWidth="1"/>
    <col min="12038" max="12038" width="28.25" style="77" customWidth="1"/>
    <col min="12039" max="12039" width="6.75" style="77" customWidth="1"/>
    <col min="12040" max="12040" width="5.875" style="77" customWidth="1"/>
    <col min="12041" max="12041" width="4.125" style="77" customWidth="1"/>
    <col min="12042" max="12042" width="10.125" style="77" customWidth="1"/>
    <col min="12043" max="12043" width="4.5" style="77" customWidth="1"/>
    <col min="12044" max="12044" width="4.75" style="77" customWidth="1"/>
    <col min="12045" max="12045" width="4.5" style="77" customWidth="1"/>
    <col min="12046" max="12046" width="8.5" style="77" customWidth="1"/>
    <col min="12047" max="12047" width="8.375" style="77" customWidth="1"/>
    <col min="12048" max="12048" width="8.5" style="77" customWidth="1"/>
    <col min="12049" max="12049" width="10.375" style="77" customWidth="1"/>
    <col min="12050" max="12050" width="10.125" style="77" customWidth="1"/>
    <col min="12051" max="12051" width="10.25" style="77" customWidth="1"/>
    <col min="12052" max="12292" width="9" style="77"/>
    <col min="12293" max="12293" width="3.75" style="77" customWidth="1"/>
    <col min="12294" max="12294" width="28.25" style="77" customWidth="1"/>
    <col min="12295" max="12295" width="6.75" style="77" customWidth="1"/>
    <col min="12296" max="12296" width="5.875" style="77" customWidth="1"/>
    <col min="12297" max="12297" width="4.125" style="77" customWidth="1"/>
    <col min="12298" max="12298" width="10.125" style="77" customWidth="1"/>
    <col min="12299" max="12299" width="4.5" style="77" customWidth="1"/>
    <col min="12300" max="12300" width="4.75" style="77" customWidth="1"/>
    <col min="12301" max="12301" width="4.5" style="77" customWidth="1"/>
    <col min="12302" max="12302" width="8.5" style="77" customWidth="1"/>
    <col min="12303" max="12303" width="8.375" style="77" customWidth="1"/>
    <col min="12304" max="12304" width="8.5" style="77" customWidth="1"/>
    <col min="12305" max="12305" width="10.375" style="77" customWidth="1"/>
    <col min="12306" max="12306" width="10.125" style="77" customWidth="1"/>
    <col min="12307" max="12307" width="10.25" style="77" customWidth="1"/>
    <col min="12308" max="12548" width="9" style="77"/>
    <col min="12549" max="12549" width="3.75" style="77" customWidth="1"/>
    <col min="12550" max="12550" width="28.25" style="77" customWidth="1"/>
    <col min="12551" max="12551" width="6.75" style="77" customWidth="1"/>
    <col min="12552" max="12552" width="5.875" style="77" customWidth="1"/>
    <col min="12553" max="12553" width="4.125" style="77" customWidth="1"/>
    <col min="12554" max="12554" width="10.125" style="77" customWidth="1"/>
    <col min="12555" max="12555" width="4.5" style="77" customWidth="1"/>
    <col min="12556" max="12556" width="4.75" style="77" customWidth="1"/>
    <col min="12557" max="12557" width="4.5" style="77" customWidth="1"/>
    <col min="12558" max="12558" width="8.5" style="77" customWidth="1"/>
    <col min="12559" max="12559" width="8.375" style="77" customWidth="1"/>
    <col min="12560" max="12560" width="8.5" style="77" customWidth="1"/>
    <col min="12561" max="12561" width="10.375" style="77" customWidth="1"/>
    <col min="12562" max="12562" width="10.125" style="77" customWidth="1"/>
    <col min="12563" max="12563" width="10.25" style="77" customWidth="1"/>
    <col min="12564" max="12804" width="9" style="77"/>
    <col min="12805" max="12805" width="3.75" style="77" customWidth="1"/>
    <col min="12806" max="12806" width="28.25" style="77" customWidth="1"/>
    <col min="12807" max="12807" width="6.75" style="77" customWidth="1"/>
    <col min="12808" max="12808" width="5.875" style="77" customWidth="1"/>
    <col min="12809" max="12809" width="4.125" style="77" customWidth="1"/>
    <col min="12810" max="12810" width="10.125" style="77" customWidth="1"/>
    <col min="12811" max="12811" width="4.5" style="77" customWidth="1"/>
    <col min="12812" max="12812" width="4.75" style="77" customWidth="1"/>
    <col min="12813" max="12813" width="4.5" style="77" customWidth="1"/>
    <col min="12814" max="12814" width="8.5" style="77" customWidth="1"/>
    <col min="12815" max="12815" width="8.375" style="77" customWidth="1"/>
    <col min="12816" max="12816" width="8.5" style="77" customWidth="1"/>
    <col min="12817" max="12817" width="10.375" style="77" customWidth="1"/>
    <col min="12818" max="12818" width="10.125" style="77" customWidth="1"/>
    <col min="12819" max="12819" width="10.25" style="77" customWidth="1"/>
    <col min="12820" max="13060" width="9" style="77"/>
    <col min="13061" max="13061" width="3.75" style="77" customWidth="1"/>
    <col min="13062" max="13062" width="28.25" style="77" customWidth="1"/>
    <col min="13063" max="13063" width="6.75" style="77" customWidth="1"/>
    <col min="13064" max="13064" width="5.875" style="77" customWidth="1"/>
    <col min="13065" max="13065" width="4.125" style="77" customWidth="1"/>
    <col min="13066" max="13066" width="10.125" style="77" customWidth="1"/>
    <col min="13067" max="13067" width="4.5" style="77" customWidth="1"/>
    <col min="13068" max="13068" width="4.75" style="77" customWidth="1"/>
    <col min="13069" max="13069" width="4.5" style="77" customWidth="1"/>
    <col min="13070" max="13070" width="8.5" style="77" customWidth="1"/>
    <col min="13071" max="13071" width="8.375" style="77" customWidth="1"/>
    <col min="13072" max="13072" width="8.5" style="77" customWidth="1"/>
    <col min="13073" max="13073" width="10.375" style="77" customWidth="1"/>
    <col min="13074" max="13074" width="10.125" style="77" customWidth="1"/>
    <col min="13075" max="13075" width="10.25" style="77" customWidth="1"/>
    <col min="13076" max="13316" width="9" style="77"/>
    <col min="13317" max="13317" width="3.75" style="77" customWidth="1"/>
    <col min="13318" max="13318" width="28.25" style="77" customWidth="1"/>
    <col min="13319" max="13319" width="6.75" style="77" customWidth="1"/>
    <col min="13320" max="13320" width="5.875" style="77" customWidth="1"/>
    <col min="13321" max="13321" width="4.125" style="77" customWidth="1"/>
    <col min="13322" max="13322" width="10.125" style="77" customWidth="1"/>
    <col min="13323" max="13323" width="4.5" style="77" customWidth="1"/>
    <col min="13324" max="13324" width="4.75" style="77" customWidth="1"/>
    <col min="13325" max="13325" width="4.5" style="77" customWidth="1"/>
    <col min="13326" max="13326" width="8.5" style="77" customWidth="1"/>
    <col min="13327" max="13327" width="8.375" style="77" customWidth="1"/>
    <col min="13328" max="13328" width="8.5" style="77" customWidth="1"/>
    <col min="13329" max="13329" width="10.375" style="77" customWidth="1"/>
    <col min="13330" max="13330" width="10.125" style="77" customWidth="1"/>
    <col min="13331" max="13331" width="10.25" style="77" customWidth="1"/>
    <col min="13332" max="13572" width="9" style="77"/>
    <col min="13573" max="13573" width="3.75" style="77" customWidth="1"/>
    <col min="13574" max="13574" width="28.25" style="77" customWidth="1"/>
    <col min="13575" max="13575" width="6.75" style="77" customWidth="1"/>
    <col min="13576" max="13576" width="5.875" style="77" customWidth="1"/>
    <col min="13577" max="13577" width="4.125" style="77" customWidth="1"/>
    <col min="13578" max="13578" width="10.125" style="77" customWidth="1"/>
    <col min="13579" max="13579" width="4.5" style="77" customWidth="1"/>
    <col min="13580" max="13580" width="4.75" style="77" customWidth="1"/>
    <col min="13581" max="13581" width="4.5" style="77" customWidth="1"/>
    <col min="13582" max="13582" width="8.5" style="77" customWidth="1"/>
    <col min="13583" max="13583" width="8.375" style="77" customWidth="1"/>
    <col min="13584" max="13584" width="8.5" style="77" customWidth="1"/>
    <col min="13585" max="13585" width="10.375" style="77" customWidth="1"/>
    <col min="13586" max="13586" width="10.125" style="77" customWidth="1"/>
    <col min="13587" max="13587" width="10.25" style="77" customWidth="1"/>
    <col min="13588" max="13828" width="9" style="77"/>
    <col min="13829" max="13829" width="3.75" style="77" customWidth="1"/>
    <col min="13830" max="13830" width="28.25" style="77" customWidth="1"/>
    <col min="13831" max="13831" width="6.75" style="77" customWidth="1"/>
    <col min="13832" max="13832" width="5.875" style="77" customWidth="1"/>
    <col min="13833" max="13833" width="4.125" style="77" customWidth="1"/>
    <col min="13834" max="13834" width="10.125" style="77" customWidth="1"/>
    <col min="13835" max="13835" width="4.5" style="77" customWidth="1"/>
    <col min="13836" max="13836" width="4.75" style="77" customWidth="1"/>
    <col min="13837" max="13837" width="4.5" style="77" customWidth="1"/>
    <col min="13838" max="13838" width="8.5" style="77" customWidth="1"/>
    <col min="13839" max="13839" width="8.375" style="77" customWidth="1"/>
    <col min="13840" max="13840" width="8.5" style="77" customWidth="1"/>
    <col min="13841" max="13841" width="10.375" style="77" customWidth="1"/>
    <col min="13842" max="13842" width="10.125" style="77" customWidth="1"/>
    <col min="13843" max="13843" width="10.25" style="77" customWidth="1"/>
    <col min="13844" max="14084" width="9" style="77"/>
    <col min="14085" max="14085" width="3.75" style="77" customWidth="1"/>
    <col min="14086" max="14086" width="28.25" style="77" customWidth="1"/>
    <col min="14087" max="14087" width="6.75" style="77" customWidth="1"/>
    <col min="14088" max="14088" width="5.875" style="77" customWidth="1"/>
    <col min="14089" max="14089" width="4.125" style="77" customWidth="1"/>
    <col min="14090" max="14090" width="10.125" style="77" customWidth="1"/>
    <col min="14091" max="14091" width="4.5" style="77" customWidth="1"/>
    <col min="14092" max="14092" width="4.75" style="77" customWidth="1"/>
    <col min="14093" max="14093" width="4.5" style="77" customWidth="1"/>
    <col min="14094" max="14094" width="8.5" style="77" customWidth="1"/>
    <col min="14095" max="14095" width="8.375" style="77" customWidth="1"/>
    <col min="14096" max="14096" width="8.5" style="77" customWidth="1"/>
    <col min="14097" max="14097" width="10.375" style="77" customWidth="1"/>
    <col min="14098" max="14098" width="10.125" style="77" customWidth="1"/>
    <col min="14099" max="14099" width="10.25" style="77" customWidth="1"/>
    <col min="14100" max="14340" width="9" style="77"/>
    <col min="14341" max="14341" width="3.75" style="77" customWidth="1"/>
    <col min="14342" max="14342" width="28.25" style="77" customWidth="1"/>
    <col min="14343" max="14343" width="6.75" style="77" customWidth="1"/>
    <col min="14344" max="14344" width="5.875" style="77" customWidth="1"/>
    <col min="14345" max="14345" width="4.125" style="77" customWidth="1"/>
    <col min="14346" max="14346" width="10.125" style="77" customWidth="1"/>
    <col min="14347" max="14347" width="4.5" style="77" customWidth="1"/>
    <col min="14348" max="14348" width="4.75" style="77" customWidth="1"/>
    <col min="14349" max="14349" width="4.5" style="77" customWidth="1"/>
    <col min="14350" max="14350" width="8.5" style="77" customWidth="1"/>
    <col min="14351" max="14351" width="8.375" style="77" customWidth="1"/>
    <col min="14352" max="14352" width="8.5" style="77" customWidth="1"/>
    <col min="14353" max="14353" width="10.375" style="77" customWidth="1"/>
    <col min="14354" max="14354" width="10.125" style="77" customWidth="1"/>
    <col min="14355" max="14355" width="10.25" style="77" customWidth="1"/>
    <col min="14356" max="14596" width="9" style="77"/>
    <col min="14597" max="14597" width="3.75" style="77" customWidth="1"/>
    <col min="14598" max="14598" width="28.25" style="77" customWidth="1"/>
    <col min="14599" max="14599" width="6.75" style="77" customWidth="1"/>
    <col min="14600" max="14600" width="5.875" style="77" customWidth="1"/>
    <col min="14601" max="14601" width="4.125" style="77" customWidth="1"/>
    <col min="14602" max="14602" width="10.125" style="77" customWidth="1"/>
    <col min="14603" max="14603" width="4.5" style="77" customWidth="1"/>
    <col min="14604" max="14604" width="4.75" style="77" customWidth="1"/>
    <col min="14605" max="14605" width="4.5" style="77" customWidth="1"/>
    <col min="14606" max="14606" width="8.5" style="77" customWidth="1"/>
    <col min="14607" max="14607" width="8.375" style="77" customWidth="1"/>
    <col min="14608" max="14608" width="8.5" style="77" customWidth="1"/>
    <col min="14609" max="14609" width="10.375" style="77" customWidth="1"/>
    <col min="14610" max="14610" width="10.125" style="77" customWidth="1"/>
    <col min="14611" max="14611" width="10.25" style="77" customWidth="1"/>
    <col min="14612" max="14852" width="9" style="77"/>
    <col min="14853" max="14853" width="3.75" style="77" customWidth="1"/>
    <col min="14854" max="14854" width="28.25" style="77" customWidth="1"/>
    <col min="14855" max="14855" width="6.75" style="77" customWidth="1"/>
    <col min="14856" max="14856" width="5.875" style="77" customWidth="1"/>
    <col min="14857" max="14857" width="4.125" style="77" customWidth="1"/>
    <col min="14858" max="14858" width="10.125" style="77" customWidth="1"/>
    <col min="14859" max="14859" width="4.5" style="77" customWidth="1"/>
    <col min="14860" max="14860" width="4.75" style="77" customWidth="1"/>
    <col min="14861" max="14861" width="4.5" style="77" customWidth="1"/>
    <col min="14862" max="14862" width="8.5" style="77" customWidth="1"/>
    <col min="14863" max="14863" width="8.375" style="77" customWidth="1"/>
    <col min="14864" max="14864" width="8.5" style="77" customWidth="1"/>
    <col min="14865" max="14865" width="10.375" style="77" customWidth="1"/>
    <col min="14866" max="14866" width="10.125" style="77" customWidth="1"/>
    <col min="14867" max="14867" width="10.25" style="77" customWidth="1"/>
    <col min="14868" max="15108" width="9" style="77"/>
    <col min="15109" max="15109" width="3.75" style="77" customWidth="1"/>
    <col min="15110" max="15110" width="28.25" style="77" customWidth="1"/>
    <col min="15111" max="15111" width="6.75" style="77" customWidth="1"/>
    <col min="15112" max="15112" width="5.875" style="77" customWidth="1"/>
    <col min="15113" max="15113" width="4.125" style="77" customWidth="1"/>
    <col min="15114" max="15114" width="10.125" style="77" customWidth="1"/>
    <col min="15115" max="15115" width="4.5" style="77" customWidth="1"/>
    <col min="15116" max="15116" width="4.75" style="77" customWidth="1"/>
    <col min="15117" max="15117" width="4.5" style="77" customWidth="1"/>
    <col min="15118" max="15118" width="8.5" style="77" customWidth="1"/>
    <col min="15119" max="15119" width="8.375" style="77" customWidth="1"/>
    <col min="15120" max="15120" width="8.5" style="77" customWidth="1"/>
    <col min="15121" max="15121" width="10.375" style="77" customWidth="1"/>
    <col min="15122" max="15122" width="10.125" style="77" customWidth="1"/>
    <col min="15123" max="15123" width="10.25" style="77" customWidth="1"/>
    <col min="15124" max="15364" width="9" style="77"/>
    <col min="15365" max="15365" width="3.75" style="77" customWidth="1"/>
    <col min="15366" max="15366" width="28.25" style="77" customWidth="1"/>
    <col min="15367" max="15367" width="6.75" style="77" customWidth="1"/>
    <col min="15368" max="15368" width="5.875" style="77" customWidth="1"/>
    <col min="15369" max="15369" width="4.125" style="77" customWidth="1"/>
    <col min="15370" max="15370" width="10.125" style="77" customWidth="1"/>
    <col min="15371" max="15371" width="4.5" style="77" customWidth="1"/>
    <col min="15372" max="15372" width="4.75" style="77" customWidth="1"/>
    <col min="15373" max="15373" width="4.5" style="77" customWidth="1"/>
    <col min="15374" max="15374" width="8.5" style="77" customWidth="1"/>
    <col min="15375" max="15375" width="8.375" style="77" customWidth="1"/>
    <col min="15376" max="15376" width="8.5" style="77" customWidth="1"/>
    <col min="15377" max="15377" width="10.375" style="77" customWidth="1"/>
    <col min="15378" max="15378" width="10.125" style="77" customWidth="1"/>
    <col min="15379" max="15379" width="10.25" style="77" customWidth="1"/>
    <col min="15380" max="15620" width="9" style="77"/>
    <col min="15621" max="15621" width="3.75" style="77" customWidth="1"/>
    <col min="15622" max="15622" width="28.25" style="77" customWidth="1"/>
    <col min="15623" max="15623" width="6.75" style="77" customWidth="1"/>
    <col min="15624" max="15624" width="5.875" style="77" customWidth="1"/>
    <col min="15625" max="15625" width="4.125" style="77" customWidth="1"/>
    <col min="15626" max="15626" width="10.125" style="77" customWidth="1"/>
    <col min="15627" max="15627" width="4.5" style="77" customWidth="1"/>
    <col min="15628" max="15628" width="4.75" style="77" customWidth="1"/>
    <col min="15629" max="15629" width="4.5" style="77" customWidth="1"/>
    <col min="15630" max="15630" width="8.5" style="77" customWidth="1"/>
    <col min="15631" max="15631" width="8.375" style="77" customWidth="1"/>
    <col min="15632" max="15632" width="8.5" style="77" customWidth="1"/>
    <col min="15633" max="15633" width="10.375" style="77" customWidth="1"/>
    <col min="15634" max="15634" width="10.125" style="77" customWidth="1"/>
    <col min="15635" max="15635" width="10.25" style="77" customWidth="1"/>
    <col min="15636" max="15876" width="9" style="77"/>
    <col min="15877" max="15877" width="3.75" style="77" customWidth="1"/>
    <col min="15878" max="15878" width="28.25" style="77" customWidth="1"/>
    <col min="15879" max="15879" width="6.75" style="77" customWidth="1"/>
    <col min="15880" max="15880" width="5.875" style="77" customWidth="1"/>
    <col min="15881" max="15881" width="4.125" style="77" customWidth="1"/>
    <col min="15882" max="15882" width="10.125" style="77" customWidth="1"/>
    <col min="15883" max="15883" width="4.5" style="77" customWidth="1"/>
    <col min="15884" max="15884" width="4.75" style="77" customWidth="1"/>
    <col min="15885" max="15885" width="4.5" style="77" customWidth="1"/>
    <col min="15886" max="15886" width="8.5" style="77" customWidth="1"/>
    <col min="15887" max="15887" width="8.375" style="77" customWidth="1"/>
    <col min="15888" max="15888" width="8.5" style="77" customWidth="1"/>
    <col min="15889" max="15889" width="10.375" style="77" customWidth="1"/>
    <col min="15890" max="15890" width="10.125" style="77" customWidth="1"/>
    <col min="15891" max="15891" width="10.25" style="77" customWidth="1"/>
    <col min="15892" max="16132" width="9" style="77"/>
    <col min="16133" max="16133" width="3.75" style="77" customWidth="1"/>
    <col min="16134" max="16134" width="28.25" style="77" customWidth="1"/>
    <col min="16135" max="16135" width="6.75" style="77" customWidth="1"/>
    <col min="16136" max="16136" width="5.875" style="77" customWidth="1"/>
    <col min="16137" max="16137" width="4.125" style="77" customWidth="1"/>
    <col min="16138" max="16138" width="10.125" style="77" customWidth="1"/>
    <col min="16139" max="16139" width="4.5" style="77" customWidth="1"/>
    <col min="16140" max="16140" width="4.75" style="77" customWidth="1"/>
    <col min="16141" max="16141" width="4.5" style="77" customWidth="1"/>
    <col min="16142" max="16142" width="8.5" style="77" customWidth="1"/>
    <col min="16143" max="16143" width="8.375" style="77" customWidth="1"/>
    <col min="16144" max="16144" width="8.5" style="77" customWidth="1"/>
    <col min="16145" max="16145" width="10.375" style="77" customWidth="1"/>
    <col min="16146" max="16146" width="10.125" style="77" customWidth="1"/>
    <col min="16147" max="16147" width="10.25" style="77" customWidth="1"/>
    <col min="16148" max="16384" width="9" style="77"/>
  </cols>
  <sheetData>
    <row r="2" spans="1:20" ht="18.75" customHeight="1" x14ac:dyDescent="0.2"/>
    <row r="9" spans="1:20" s="117" customFormat="1" ht="15.75" x14ac:dyDescent="0.25">
      <c r="A9" s="117" t="s">
        <v>0</v>
      </c>
      <c r="B9" s="117" t="s">
        <v>136</v>
      </c>
      <c r="T9" s="182"/>
    </row>
    <row r="10" spans="1:20" s="117" customFormat="1" ht="15.75" x14ac:dyDescent="0.25">
      <c r="B10" s="117" t="s">
        <v>137</v>
      </c>
      <c r="T10" s="182"/>
    </row>
    <row r="11" spans="1:20" s="117" customFormat="1" ht="14.25" customHeight="1" x14ac:dyDescent="0.25">
      <c r="B11" s="117" t="s">
        <v>138</v>
      </c>
      <c r="T11" s="182"/>
    </row>
    <row r="12" spans="1:20" ht="9" customHeight="1" x14ac:dyDescent="0.2">
      <c r="F12" s="77" t="s">
        <v>139</v>
      </c>
    </row>
    <row r="13" spans="1:20" x14ac:dyDescent="0.2">
      <c r="A13" s="504" t="s">
        <v>1</v>
      </c>
      <c r="B13" s="504" t="s">
        <v>2</v>
      </c>
      <c r="C13" s="197" t="s">
        <v>40</v>
      </c>
      <c r="D13" s="198" t="s">
        <v>140</v>
      </c>
      <c r="E13" s="512" t="s">
        <v>141</v>
      </c>
      <c r="F13" s="513"/>
      <c r="G13" s="514"/>
      <c r="H13" s="512" t="s">
        <v>4</v>
      </c>
      <c r="I13" s="513"/>
      <c r="J13" s="514"/>
      <c r="K13" s="512" t="s">
        <v>5</v>
      </c>
      <c r="L13" s="513"/>
      <c r="M13" s="514"/>
      <c r="N13" s="498" t="s">
        <v>254</v>
      </c>
      <c r="O13" s="499"/>
      <c r="P13" s="500"/>
      <c r="Q13" s="498" t="s">
        <v>252</v>
      </c>
      <c r="R13" s="499"/>
      <c r="S13" s="500"/>
      <c r="T13" s="504" t="s">
        <v>42</v>
      </c>
    </row>
    <row r="14" spans="1:20" x14ac:dyDescent="0.2">
      <c r="A14" s="510"/>
      <c r="B14" s="510"/>
      <c r="C14" s="200" t="s">
        <v>39</v>
      </c>
      <c r="D14" s="118" t="s">
        <v>142</v>
      </c>
      <c r="E14" s="119" t="s">
        <v>140</v>
      </c>
      <c r="F14" s="295" t="s">
        <v>36</v>
      </c>
      <c r="G14" s="295" t="s">
        <v>246</v>
      </c>
      <c r="H14" s="507" t="s">
        <v>8</v>
      </c>
      <c r="I14" s="508"/>
      <c r="J14" s="509"/>
      <c r="K14" s="507" t="s">
        <v>9</v>
      </c>
      <c r="L14" s="508"/>
      <c r="M14" s="509"/>
      <c r="N14" s="501"/>
      <c r="O14" s="502"/>
      <c r="P14" s="503"/>
      <c r="Q14" s="501"/>
      <c r="R14" s="502"/>
      <c r="S14" s="503"/>
      <c r="T14" s="505"/>
    </row>
    <row r="15" spans="1:20" x14ac:dyDescent="0.2">
      <c r="A15" s="510"/>
      <c r="B15" s="510"/>
      <c r="C15" s="199"/>
      <c r="D15" s="120"/>
      <c r="E15" s="121" t="s">
        <v>143</v>
      </c>
      <c r="F15" s="307" t="s">
        <v>248</v>
      </c>
      <c r="G15" s="296" t="s">
        <v>247</v>
      </c>
      <c r="H15" s="122">
        <v>2654</v>
      </c>
      <c r="I15" s="123">
        <v>2565</v>
      </c>
      <c r="J15" s="123">
        <v>2566</v>
      </c>
      <c r="K15" s="122">
        <v>2654</v>
      </c>
      <c r="L15" s="123">
        <v>2565</v>
      </c>
      <c r="M15" s="123">
        <v>2566</v>
      </c>
      <c r="N15" s="124" t="s">
        <v>249</v>
      </c>
      <c r="O15" s="124" t="s">
        <v>250</v>
      </c>
      <c r="P15" s="124" t="s">
        <v>251</v>
      </c>
      <c r="Q15" s="124" t="s">
        <v>249</v>
      </c>
      <c r="R15" s="124" t="s">
        <v>250</v>
      </c>
      <c r="S15" s="124" t="s">
        <v>251</v>
      </c>
      <c r="T15" s="506"/>
    </row>
    <row r="16" spans="1:20" x14ac:dyDescent="0.2">
      <c r="A16" s="408">
        <v>1</v>
      </c>
      <c r="B16" s="409" t="s">
        <v>144</v>
      </c>
      <c r="C16" s="410" t="s">
        <v>45</v>
      </c>
      <c r="D16" s="408">
        <v>1</v>
      </c>
      <c r="E16" s="408">
        <v>1</v>
      </c>
      <c r="F16" s="411">
        <f>'ข้อ 11 บัญชีแสดงฯ(64-66)'!J6</f>
        <v>495000</v>
      </c>
      <c r="G16" s="411">
        <f>'ข้อ 11 บัญชีแสดงฯ(64-66)'!K6+'ข้อ 11 บัญชีแสดงฯ(64-66)'!L6</f>
        <v>168000</v>
      </c>
      <c r="H16" s="412">
        <v>1</v>
      </c>
      <c r="I16" s="412">
        <v>1</v>
      </c>
      <c r="J16" s="412">
        <v>1</v>
      </c>
      <c r="K16" s="413">
        <v>0</v>
      </c>
      <c r="L16" s="414">
        <v>0</v>
      </c>
      <c r="M16" s="414">
        <v>0</v>
      </c>
      <c r="N16" s="411">
        <f>(42620-41250)*12</f>
        <v>16440</v>
      </c>
      <c r="O16" s="411">
        <f>(44130-42620)*12</f>
        <v>18120</v>
      </c>
      <c r="P16" s="411">
        <f>(45750-44130)*12</f>
        <v>19440</v>
      </c>
      <c r="Q16" s="415">
        <f>F16+G16+N16</f>
        <v>679440</v>
      </c>
      <c r="R16" s="415">
        <f>Q16+O16</f>
        <v>697560</v>
      </c>
      <c r="S16" s="415">
        <f>P16+R16</f>
        <v>717000</v>
      </c>
      <c r="T16" s="416" t="s">
        <v>376</v>
      </c>
    </row>
    <row r="17" spans="1:20" x14ac:dyDescent="0.2">
      <c r="A17" s="126">
        <v>2</v>
      </c>
      <c r="B17" s="188" t="s">
        <v>145</v>
      </c>
      <c r="C17" s="194" t="s">
        <v>49</v>
      </c>
      <c r="D17" s="126">
        <v>1</v>
      </c>
      <c r="E17" s="126">
        <v>1</v>
      </c>
      <c r="F17" s="129">
        <f>'ข้อ 11 บัญชีแสดงฯ(64-66)'!J8</f>
        <v>389400</v>
      </c>
      <c r="G17" s="129">
        <f>'ข้อ 11 บัญชีแสดงฯ(64-66)'!K8</f>
        <v>42000</v>
      </c>
      <c r="H17" s="130">
        <v>1</v>
      </c>
      <c r="I17" s="130">
        <v>1</v>
      </c>
      <c r="J17" s="130">
        <v>1</v>
      </c>
      <c r="K17" s="131" t="s">
        <v>80</v>
      </c>
      <c r="L17" s="131" t="s">
        <v>80</v>
      </c>
      <c r="M17" s="131">
        <v>0</v>
      </c>
      <c r="N17" s="107">
        <f>(33560-32450)*12</f>
        <v>13320</v>
      </c>
      <c r="O17" s="107">
        <f>(34680-33560)*12</f>
        <v>13440</v>
      </c>
      <c r="P17" s="107">
        <f>(35770-34680)*12</f>
        <v>13080</v>
      </c>
      <c r="Q17" s="147">
        <f>F17+G17+N17</f>
        <v>444720</v>
      </c>
      <c r="R17" s="147">
        <f>Q17+O17</f>
        <v>458160</v>
      </c>
      <c r="S17" s="147">
        <f>P17+R17</f>
        <v>471240</v>
      </c>
      <c r="T17" s="146" t="s">
        <v>377</v>
      </c>
    </row>
    <row r="18" spans="1:20" x14ac:dyDescent="0.2">
      <c r="A18" s="140"/>
      <c r="B18" s="185" t="s">
        <v>463</v>
      </c>
      <c r="C18" s="186"/>
      <c r="D18" s="140"/>
      <c r="E18" s="140"/>
      <c r="F18" s="112"/>
      <c r="G18" s="112"/>
      <c r="H18" s="164"/>
      <c r="I18" s="164"/>
      <c r="J18" s="164"/>
      <c r="K18" s="164"/>
      <c r="L18" s="164"/>
      <c r="M18" s="164"/>
      <c r="N18" s="112"/>
      <c r="O18" s="112"/>
      <c r="P18" s="112"/>
      <c r="Q18" s="165"/>
      <c r="R18" s="165"/>
      <c r="S18" s="165"/>
      <c r="T18" s="140"/>
    </row>
    <row r="19" spans="1:20" x14ac:dyDescent="0.2">
      <c r="A19" s="145">
        <v>3</v>
      </c>
      <c r="B19" s="188" t="s">
        <v>146</v>
      </c>
      <c r="C19" s="194" t="s">
        <v>49</v>
      </c>
      <c r="D19" s="145">
        <v>1</v>
      </c>
      <c r="E19" s="146">
        <v>1</v>
      </c>
      <c r="F19" s="107">
        <f>'ข้อ 11 บัญชีแสดงฯ(64-66)'!J12</f>
        <v>422640</v>
      </c>
      <c r="G19" s="131">
        <f>'ข้อ 11 บัญชีแสดงฯ(64-66)'!K12</f>
        <v>42000</v>
      </c>
      <c r="H19" s="146">
        <v>1</v>
      </c>
      <c r="I19" s="146">
        <v>1</v>
      </c>
      <c r="J19" s="146">
        <v>1</v>
      </c>
      <c r="K19" s="161">
        <v>0</v>
      </c>
      <c r="L19" s="161">
        <v>0</v>
      </c>
      <c r="M19" s="161">
        <v>0</v>
      </c>
      <c r="N19" s="107">
        <f>(36310-35220)*12</f>
        <v>13080</v>
      </c>
      <c r="O19" s="107">
        <f>(37410-36310)*12</f>
        <v>13200</v>
      </c>
      <c r="P19" s="107">
        <f>(38520-37410)*12</f>
        <v>13320</v>
      </c>
      <c r="Q19" s="147">
        <f>F19+G19+N19</f>
        <v>477720</v>
      </c>
      <c r="R19" s="147">
        <f t="shared" ref="R19:R28" si="0">Q19+O19</f>
        <v>490920</v>
      </c>
      <c r="S19" s="147">
        <f t="shared" ref="S19:S28" si="1">P19+R19</f>
        <v>504240</v>
      </c>
      <c r="T19" s="146" t="s">
        <v>378</v>
      </c>
    </row>
    <row r="20" spans="1:20" x14ac:dyDescent="0.2">
      <c r="A20" s="133">
        <v>4</v>
      </c>
      <c r="B20" s="127" t="s">
        <v>69</v>
      </c>
      <c r="C20" s="128" t="s">
        <v>56</v>
      </c>
      <c r="D20" s="137">
        <v>1</v>
      </c>
      <c r="E20" s="137">
        <v>1</v>
      </c>
      <c r="F20" s="149"/>
      <c r="G20" s="149"/>
      <c r="H20" s="134">
        <v>1</v>
      </c>
      <c r="I20" s="134">
        <v>1</v>
      </c>
      <c r="J20" s="134">
        <v>1</v>
      </c>
      <c r="K20" s="135" t="s">
        <v>80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3" t="s">
        <v>160</v>
      </c>
    </row>
    <row r="21" spans="1:20" x14ac:dyDescent="0.2">
      <c r="A21" s="133">
        <v>5</v>
      </c>
      <c r="B21" s="127" t="s">
        <v>61</v>
      </c>
      <c r="C21" s="128" t="s">
        <v>56</v>
      </c>
      <c r="D21" s="133">
        <v>1</v>
      </c>
      <c r="E21" s="133">
        <v>1</v>
      </c>
      <c r="F21" s="103">
        <f>'ข้อ 11 บัญชีแสดงฯ(64-66)'!J16</f>
        <v>422640</v>
      </c>
      <c r="G21" s="141">
        <v>0</v>
      </c>
      <c r="H21" s="134">
        <v>1</v>
      </c>
      <c r="I21" s="134">
        <v>1</v>
      </c>
      <c r="J21" s="134">
        <v>1</v>
      </c>
      <c r="K21" s="135">
        <v>0</v>
      </c>
      <c r="L21" s="135">
        <v>0</v>
      </c>
      <c r="M21" s="135">
        <v>0</v>
      </c>
      <c r="N21" s="107">
        <f>(36310-35220)*12</f>
        <v>13080</v>
      </c>
      <c r="O21" s="107">
        <f>(37410-36310)*12</f>
        <v>13200</v>
      </c>
      <c r="P21" s="107">
        <f>(38520-37410)*12</f>
        <v>13320</v>
      </c>
      <c r="Q21" s="132">
        <f>F21+N21</f>
        <v>435720</v>
      </c>
      <c r="R21" s="132">
        <f>Q21+O21</f>
        <v>448920</v>
      </c>
      <c r="S21" s="132">
        <f>P21+R21</f>
        <v>462240</v>
      </c>
      <c r="T21" s="134" t="s">
        <v>378</v>
      </c>
    </row>
    <row r="22" spans="1:20" x14ac:dyDescent="0.2">
      <c r="A22" s="133">
        <v>6</v>
      </c>
      <c r="B22" s="127" t="s">
        <v>55</v>
      </c>
      <c r="C22" s="133" t="s">
        <v>65</v>
      </c>
      <c r="D22" s="133">
        <v>1</v>
      </c>
      <c r="E22" s="306">
        <v>1</v>
      </c>
      <c r="F22" s="103">
        <f>'ข้อ 11 บัญชีแสดงฯ(64-66)'!J18</f>
        <v>210840</v>
      </c>
      <c r="G22" s="141">
        <v>0</v>
      </c>
      <c r="H22" s="134">
        <v>1</v>
      </c>
      <c r="I22" s="134">
        <v>1</v>
      </c>
      <c r="J22" s="134">
        <v>1</v>
      </c>
      <c r="K22" s="135">
        <v>0</v>
      </c>
      <c r="L22" s="135">
        <v>0</v>
      </c>
      <c r="M22" s="135">
        <v>0</v>
      </c>
      <c r="N22" s="129">
        <f>(18200-17570)*12</f>
        <v>7560</v>
      </c>
      <c r="O22" s="103">
        <f>(18840-18200)*12</f>
        <v>7680</v>
      </c>
      <c r="P22" s="103">
        <f>(19480-18840)*12</f>
        <v>7680</v>
      </c>
      <c r="Q22" s="132">
        <f>F22+N22</f>
        <v>218400</v>
      </c>
      <c r="R22" s="132">
        <f>Q22+O22</f>
        <v>226080</v>
      </c>
      <c r="S22" s="132">
        <f>P22+R22</f>
        <v>233760</v>
      </c>
      <c r="T22" s="134" t="s">
        <v>255</v>
      </c>
    </row>
    <row r="23" spans="1:20" x14ac:dyDescent="0.2">
      <c r="A23" s="133">
        <v>7</v>
      </c>
      <c r="B23" s="127" t="s">
        <v>66</v>
      </c>
      <c r="C23" s="128" t="s">
        <v>56</v>
      </c>
      <c r="D23" s="136">
        <v>1</v>
      </c>
      <c r="E23" s="137">
        <v>1</v>
      </c>
      <c r="F23" s="103">
        <f>'ข้อ 11 บัญชีแสดงฯ(64-66)'!J20</f>
        <v>369480</v>
      </c>
      <c r="G23" s="141">
        <v>0</v>
      </c>
      <c r="H23" s="134">
        <v>1</v>
      </c>
      <c r="I23" s="134">
        <v>1</v>
      </c>
      <c r="J23" s="134">
        <v>1</v>
      </c>
      <c r="K23" s="135" t="s">
        <v>80</v>
      </c>
      <c r="L23" s="135">
        <v>0</v>
      </c>
      <c r="M23" s="135">
        <v>0</v>
      </c>
      <c r="N23" s="103">
        <f>(31880-30790)*12</f>
        <v>13080</v>
      </c>
      <c r="O23" s="103">
        <f>(33000-31880)*12</f>
        <v>13440</v>
      </c>
      <c r="P23" s="103">
        <f>(34110-33000)*12</f>
        <v>13320</v>
      </c>
      <c r="Q23" s="132">
        <f>F23+N23</f>
        <v>382560</v>
      </c>
      <c r="R23" s="132">
        <f>Q23+O23</f>
        <v>396000</v>
      </c>
      <c r="S23" s="132">
        <f>P23+R23</f>
        <v>409320</v>
      </c>
      <c r="T23" s="134" t="s">
        <v>379</v>
      </c>
    </row>
    <row r="24" spans="1:20" x14ac:dyDescent="0.2">
      <c r="A24" s="133">
        <v>8</v>
      </c>
      <c r="B24" s="127" t="s">
        <v>57</v>
      </c>
      <c r="C24" s="128" t="s">
        <v>65</v>
      </c>
      <c r="D24" s="133">
        <v>1</v>
      </c>
      <c r="E24" s="133">
        <v>1</v>
      </c>
      <c r="F24" s="103">
        <f>'ข้อ 11 บัญชีแสดงฯ(64-66)'!J22</f>
        <v>185040</v>
      </c>
      <c r="G24" s="141">
        <v>0</v>
      </c>
      <c r="H24" s="134">
        <v>1</v>
      </c>
      <c r="I24" s="134">
        <v>1</v>
      </c>
      <c r="J24" s="134">
        <v>1</v>
      </c>
      <c r="K24" s="135">
        <v>0</v>
      </c>
      <c r="L24" s="135">
        <v>0</v>
      </c>
      <c r="M24" s="135">
        <v>0</v>
      </c>
      <c r="N24" s="103">
        <f>(16220-15420)*12</f>
        <v>9600</v>
      </c>
      <c r="O24" s="103">
        <f>(16940-16220)*12</f>
        <v>8640</v>
      </c>
      <c r="P24" s="103">
        <f>(17570-16940)*12</f>
        <v>7560</v>
      </c>
      <c r="Q24" s="132">
        <f t="shared" ref="Q24" si="2">F24+N24</f>
        <v>194640</v>
      </c>
      <c r="R24" s="132">
        <f t="shared" si="0"/>
        <v>203280</v>
      </c>
      <c r="S24" s="132">
        <f t="shared" si="1"/>
        <v>210840</v>
      </c>
      <c r="T24" s="134" t="s">
        <v>380</v>
      </c>
    </row>
    <row r="25" spans="1:20" x14ac:dyDescent="0.2">
      <c r="A25" s="133">
        <v>9</v>
      </c>
      <c r="B25" s="127" t="s">
        <v>148</v>
      </c>
      <c r="C25" s="128" t="s">
        <v>56</v>
      </c>
      <c r="D25" s="133">
        <v>1</v>
      </c>
      <c r="E25" s="136">
        <v>1</v>
      </c>
      <c r="F25" s="103">
        <f>'ข้อ 11 บัญชีแสดงฯ(64-66)'!J24</f>
        <v>329760</v>
      </c>
      <c r="G25" s="141">
        <v>0</v>
      </c>
      <c r="H25" s="134">
        <v>1</v>
      </c>
      <c r="I25" s="134">
        <v>1</v>
      </c>
      <c r="J25" s="134">
        <v>1</v>
      </c>
      <c r="K25" s="135">
        <v>0</v>
      </c>
      <c r="L25" s="135">
        <v>0</v>
      </c>
      <c r="M25" s="135">
        <v>0</v>
      </c>
      <c r="N25" s="103">
        <f>(28560-27480)*12</f>
        <v>12960</v>
      </c>
      <c r="O25" s="103">
        <f>(29680-28560)*12</f>
        <v>13440</v>
      </c>
      <c r="P25" s="103">
        <f>(30790-29680)*12</f>
        <v>13320</v>
      </c>
      <c r="Q25" s="132">
        <f>F25+N25</f>
        <v>342720</v>
      </c>
      <c r="R25" s="132">
        <f>Q25+O25</f>
        <v>356160</v>
      </c>
      <c r="S25" s="132">
        <f>P25+R25</f>
        <v>369480</v>
      </c>
      <c r="T25" s="134" t="s">
        <v>189</v>
      </c>
    </row>
    <row r="26" spans="1:20" x14ac:dyDescent="0.2">
      <c r="A26" s="133">
        <v>10</v>
      </c>
      <c r="B26" s="139" t="s">
        <v>76</v>
      </c>
      <c r="C26" s="186" t="s">
        <v>77</v>
      </c>
      <c r="D26" s="140">
        <v>1</v>
      </c>
      <c r="E26" s="140">
        <v>1</v>
      </c>
      <c r="F26" s="112">
        <f>'ข้อ 11 บัญชีแสดงฯ(64-66)'!J26</f>
        <v>181680</v>
      </c>
      <c r="G26" s="141">
        <v>0</v>
      </c>
      <c r="H26" s="164">
        <v>1</v>
      </c>
      <c r="I26" s="164">
        <v>1</v>
      </c>
      <c r="J26" s="164">
        <v>1</v>
      </c>
      <c r="K26" s="141">
        <v>0</v>
      </c>
      <c r="L26" s="141">
        <v>0</v>
      </c>
      <c r="M26" s="141">
        <v>0</v>
      </c>
      <c r="N26" s="112">
        <f>(15720-15140)*12</f>
        <v>6960</v>
      </c>
      <c r="O26" s="112">
        <f>(16340-15720)*12</f>
        <v>7440</v>
      </c>
      <c r="P26" s="112">
        <f>(16960-16340)*12</f>
        <v>7440</v>
      </c>
      <c r="Q26" s="165">
        <f>F26+N26</f>
        <v>188640</v>
      </c>
      <c r="R26" s="165">
        <f>Q26+O26</f>
        <v>196080</v>
      </c>
      <c r="S26" s="165">
        <f>P26+R26</f>
        <v>203520</v>
      </c>
      <c r="T26" s="164" t="s">
        <v>381</v>
      </c>
    </row>
    <row r="27" spans="1:20" x14ac:dyDescent="0.2">
      <c r="A27" s="133">
        <v>11</v>
      </c>
      <c r="B27" s="127" t="s">
        <v>363</v>
      </c>
      <c r="C27" s="138" t="s">
        <v>77</v>
      </c>
      <c r="D27" s="133">
        <v>1</v>
      </c>
      <c r="E27" s="137">
        <v>1</v>
      </c>
      <c r="F27" s="103">
        <f>'ข้อ 11 บัญชีแสดงฯ(64-66)'!J28</f>
        <v>140400</v>
      </c>
      <c r="G27" s="141">
        <v>0</v>
      </c>
      <c r="H27" s="134">
        <v>1</v>
      </c>
      <c r="I27" s="134">
        <v>1</v>
      </c>
      <c r="J27" s="134">
        <v>1</v>
      </c>
      <c r="K27" s="135">
        <v>0</v>
      </c>
      <c r="L27" s="135">
        <v>0</v>
      </c>
      <c r="M27" s="135">
        <v>0</v>
      </c>
      <c r="N27" s="103">
        <f>(12220-11700)*12</f>
        <v>6240</v>
      </c>
      <c r="O27" s="103">
        <f>(12730-12220)*12</f>
        <v>6120</v>
      </c>
      <c r="P27" s="103">
        <f>(13230-12730)*12</f>
        <v>6000</v>
      </c>
      <c r="Q27" s="132">
        <f>F27+N27</f>
        <v>146640</v>
      </c>
      <c r="R27" s="132">
        <f t="shared" si="0"/>
        <v>152760</v>
      </c>
      <c r="S27" s="132">
        <f t="shared" si="1"/>
        <v>158760</v>
      </c>
      <c r="T27" s="134" t="s">
        <v>382</v>
      </c>
    </row>
    <row r="28" spans="1:20" x14ac:dyDescent="0.2">
      <c r="A28" s="133">
        <v>12</v>
      </c>
      <c r="B28" s="127" t="s">
        <v>149</v>
      </c>
      <c r="C28" s="138" t="s">
        <v>71</v>
      </c>
      <c r="D28" s="133">
        <v>1</v>
      </c>
      <c r="E28" s="135" t="s">
        <v>80</v>
      </c>
      <c r="F28" s="103">
        <f>'ข้อ 11 บัญชีแสดงฯ(64-66)'!J30</f>
        <v>297900</v>
      </c>
      <c r="G28" s="141">
        <v>0</v>
      </c>
      <c r="H28" s="134">
        <v>1</v>
      </c>
      <c r="I28" s="134">
        <v>1</v>
      </c>
      <c r="J28" s="134">
        <v>1</v>
      </c>
      <c r="K28" s="135">
        <v>0</v>
      </c>
      <c r="L28" s="135">
        <v>0</v>
      </c>
      <c r="M28" s="135">
        <v>0</v>
      </c>
      <c r="N28" s="103">
        <f>((40900-39620)+(9090-8750))/2*12</f>
        <v>9720</v>
      </c>
      <c r="O28" s="103">
        <f>N28</f>
        <v>9720</v>
      </c>
      <c r="P28" s="103">
        <f>N28</f>
        <v>9720</v>
      </c>
      <c r="Q28" s="132">
        <f>F28+N28</f>
        <v>307620</v>
      </c>
      <c r="R28" s="132">
        <f t="shared" si="0"/>
        <v>317340</v>
      </c>
      <c r="S28" s="132">
        <f t="shared" si="1"/>
        <v>327060</v>
      </c>
      <c r="T28" s="133" t="s">
        <v>161</v>
      </c>
    </row>
    <row r="29" spans="1:20" x14ac:dyDescent="0.2">
      <c r="A29" s="133"/>
      <c r="B29" s="405" t="s">
        <v>176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33"/>
    </row>
    <row r="30" spans="1:20" x14ac:dyDescent="0.2">
      <c r="A30" s="133">
        <v>13</v>
      </c>
      <c r="B30" s="127" t="s">
        <v>162</v>
      </c>
      <c r="C30" s="148"/>
      <c r="D30" s="149">
        <v>1</v>
      </c>
      <c r="E30" s="149">
        <v>1</v>
      </c>
      <c r="F30" s="103">
        <f>'ข้อ 11 บัญชีแสดงฯ(64-66)'!J40</f>
        <v>178680</v>
      </c>
      <c r="G30" s="135">
        <v>0</v>
      </c>
      <c r="H30" s="151">
        <v>1</v>
      </c>
      <c r="I30" s="151">
        <v>1</v>
      </c>
      <c r="J30" s="151">
        <v>1</v>
      </c>
      <c r="K30" s="150">
        <v>0</v>
      </c>
      <c r="L30" s="150">
        <v>0</v>
      </c>
      <c r="M30" s="150">
        <v>0</v>
      </c>
      <c r="N30" s="103">
        <f>คชจ.พนง.จ้าง!E8</f>
        <v>7200</v>
      </c>
      <c r="O30" s="103">
        <f>คชจ.พนง.จ้าง!I8</f>
        <v>7440</v>
      </c>
      <c r="P30" s="103">
        <f>คชจ.พนง.จ้าง!M8</f>
        <v>7800</v>
      </c>
      <c r="Q30" s="132">
        <f>F30+N30</f>
        <v>185880</v>
      </c>
      <c r="R30" s="132">
        <f>Q30+O30</f>
        <v>193320</v>
      </c>
      <c r="S30" s="132">
        <f>P30+R30</f>
        <v>201120</v>
      </c>
      <c r="T30" s="134" t="s">
        <v>383</v>
      </c>
    </row>
    <row r="31" spans="1:20" x14ac:dyDescent="0.2">
      <c r="A31" s="133">
        <v>14</v>
      </c>
      <c r="B31" s="188" t="s">
        <v>185</v>
      </c>
      <c r="C31" s="183"/>
      <c r="D31" s="228">
        <v>1</v>
      </c>
      <c r="E31" s="228">
        <v>1</v>
      </c>
      <c r="F31" s="107">
        <f>'ข้อ 11 บัญชีแสดงฯ(64-66)'!J42</f>
        <v>134280</v>
      </c>
      <c r="G31" s="161">
        <v>0</v>
      </c>
      <c r="H31" s="228">
        <v>1</v>
      </c>
      <c r="I31" s="228">
        <v>1</v>
      </c>
      <c r="J31" s="228">
        <v>1</v>
      </c>
      <c r="K31" s="161" t="s">
        <v>80</v>
      </c>
      <c r="L31" s="183">
        <v>0</v>
      </c>
      <c r="M31" s="183">
        <v>0</v>
      </c>
      <c r="N31" s="107">
        <f>คชจ.พนง.จ้าง!E9</f>
        <v>5400</v>
      </c>
      <c r="O31" s="107">
        <f>คชจ.พนง.จ้าง!I9</f>
        <v>5640</v>
      </c>
      <c r="P31" s="107">
        <f>คชจ.พนง.จ้าง!M9</f>
        <v>5880</v>
      </c>
      <c r="Q31" s="147">
        <f>F31+N31</f>
        <v>139680</v>
      </c>
      <c r="R31" s="147">
        <f>Q31+O31</f>
        <v>145320</v>
      </c>
      <c r="S31" s="147">
        <f>P31+R31</f>
        <v>151200</v>
      </c>
      <c r="T31" s="146" t="s">
        <v>384</v>
      </c>
    </row>
    <row r="32" spans="1:20" x14ac:dyDescent="0.2">
      <c r="A32" s="133">
        <v>15</v>
      </c>
      <c r="B32" s="188" t="s">
        <v>19</v>
      </c>
      <c r="C32" s="114"/>
      <c r="D32" s="227">
        <v>1</v>
      </c>
      <c r="E32" s="227">
        <v>1</v>
      </c>
      <c r="F32" s="107">
        <f>'ข้อ 11 บัญชีแสดงฯ(64-66)'!J44</f>
        <v>148560</v>
      </c>
      <c r="G32" s="131">
        <v>0</v>
      </c>
      <c r="H32" s="228">
        <v>1</v>
      </c>
      <c r="I32" s="228">
        <v>1</v>
      </c>
      <c r="J32" s="228">
        <v>1</v>
      </c>
      <c r="K32" s="161">
        <v>0</v>
      </c>
      <c r="L32" s="161">
        <v>0</v>
      </c>
      <c r="M32" s="161">
        <v>0</v>
      </c>
      <c r="N32" s="107">
        <f>คชจ.พนง.จ้าง!E16</f>
        <v>6000</v>
      </c>
      <c r="O32" s="107">
        <f>คชจ.พนง.จ้าง!I16</f>
        <v>6240</v>
      </c>
      <c r="P32" s="107">
        <f>คชจ.พนง.จ้าง!M16</f>
        <v>6480</v>
      </c>
      <c r="Q32" s="147">
        <f t="shared" ref="Q32:Q34" si="3">F32+N32</f>
        <v>154560</v>
      </c>
      <c r="R32" s="147">
        <f t="shared" ref="R32:R34" si="4">Q32+O32</f>
        <v>160800</v>
      </c>
      <c r="S32" s="147">
        <f>P32+R32</f>
        <v>167280</v>
      </c>
      <c r="T32" s="146" t="s">
        <v>385</v>
      </c>
    </row>
    <row r="33" spans="1:21" x14ac:dyDescent="0.2">
      <c r="A33" s="133">
        <v>16</v>
      </c>
      <c r="B33" s="127" t="s">
        <v>165</v>
      </c>
      <c r="C33" s="150"/>
      <c r="D33" s="151">
        <v>1</v>
      </c>
      <c r="E33" s="151">
        <v>1</v>
      </c>
      <c r="F33" s="103">
        <f>'ข้อ 11 บัญชีแสดงฯ(64-66)'!J46</f>
        <v>165480</v>
      </c>
      <c r="G33" s="141">
        <v>0</v>
      </c>
      <c r="H33" s="151">
        <v>1</v>
      </c>
      <c r="I33" s="151">
        <v>1</v>
      </c>
      <c r="J33" s="151">
        <v>1</v>
      </c>
      <c r="K33" s="150">
        <v>0</v>
      </c>
      <c r="L33" s="150">
        <v>0</v>
      </c>
      <c r="M33" s="150">
        <v>0</v>
      </c>
      <c r="N33" s="103">
        <f>คชจ.พนง.จ้าง!E12</f>
        <v>6720</v>
      </c>
      <c r="O33" s="103">
        <f>คชจ.พนง.จ้าง!I12</f>
        <v>6960</v>
      </c>
      <c r="P33" s="103">
        <f>คชจ.พนง.จ้าง!M12</f>
        <v>7200</v>
      </c>
      <c r="Q33" s="132">
        <f t="shared" si="3"/>
        <v>172200</v>
      </c>
      <c r="R33" s="132">
        <f t="shared" si="4"/>
        <v>179160</v>
      </c>
      <c r="S33" s="132">
        <f t="shared" ref="S33:S34" si="5">P33+R33</f>
        <v>186360</v>
      </c>
      <c r="T33" s="134" t="s">
        <v>386</v>
      </c>
    </row>
    <row r="34" spans="1:21" x14ac:dyDescent="0.2">
      <c r="A34" s="140">
        <v>17</v>
      </c>
      <c r="B34" s="406" t="s">
        <v>166</v>
      </c>
      <c r="C34" s="243"/>
      <c r="D34" s="226">
        <v>1</v>
      </c>
      <c r="E34" s="226">
        <v>1</v>
      </c>
      <c r="F34" s="112">
        <f>'ข้อ 11 บัญชีแสดงฯ(64-66)'!J48</f>
        <v>150360</v>
      </c>
      <c r="G34" s="141">
        <v>0</v>
      </c>
      <c r="H34" s="226">
        <v>1</v>
      </c>
      <c r="I34" s="226">
        <v>1</v>
      </c>
      <c r="J34" s="226">
        <v>1</v>
      </c>
      <c r="K34" s="243">
        <v>0</v>
      </c>
      <c r="L34" s="243">
        <v>0</v>
      </c>
      <c r="M34" s="243">
        <v>0</v>
      </c>
      <c r="N34" s="112">
        <f>คชจ.พนง.จ้าง!E7</f>
        <v>6120</v>
      </c>
      <c r="O34" s="112">
        <f>คชจ.พนง.จ้าง!I7</f>
        <v>6360</v>
      </c>
      <c r="P34" s="112">
        <f>คชจ.พนง.จ้าง!M7</f>
        <v>6600</v>
      </c>
      <c r="Q34" s="165">
        <f t="shared" si="3"/>
        <v>156480</v>
      </c>
      <c r="R34" s="165">
        <f t="shared" si="4"/>
        <v>162840</v>
      </c>
      <c r="S34" s="165">
        <f t="shared" si="5"/>
        <v>169440</v>
      </c>
      <c r="T34" s="164" t="s">
        <v>190</v>
      </c>
    </row>
    <row r="35" spans="1:21" x14ac:dyDescent="0.2">
      <c r="A35" s="140"/>
      <c r="B35" s="242" t="s">
        <v>178</v>
      </c>
      <c r="C35" s="189"/>
      <c r="D35" s="189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40"/>
    </row>
    <row r="36" spans="1:21" x14ac:dyDescent="0.2">
      <c r="A36" s="145">
        <v>18</v>
      </c>
      <c r="B36" s="407" t="s">
        <v>20</v>
      </c>
      <c r="C36" s="183"/>
      <c r="D36" s="228">
        <v>1</v>
      </c>
      <c r="E36" s="227">
        <v>1</v>
      </c>
      <c r="F36" s="107">
        <f>'ข้อ 11 บัญชีแสดงฯ(64-66)'!J51</f>
        <v>185640</v>
      </c>
      <c r="G36" s="161">
        <v>0</v>
      </c>
      <c r="H36" s="228">
        <v>1</v>
      </c>
      <c r="I36" s="228">
        <v>1</v>
      </c>
      <c r="J36" s="228">
        <v>1</v>
      </c>
      <c r="K36" s="183">
        <v>0</v>
      </c>
      <c r="L36" s="183">
        <v>0</v>
      </c>
      <c r="M36" s="183">
        <v>0</v>
      </c>
      <c r="N36" s="107">
        <f>คชจ.พนง.จ้าง!E14</f>
        <v>7440</v>
      </c>
      <c r="O36" s="107">
        <f>คชจ.พนง.จ้าง!I14</f>
        <v>7800</v>
      </c>
      <c r="P36" s="107">
        <f>คชจ.พนง.จ้าง!M14</f>
        <v>8040</v>
      </c>
      <c r="Q36" s="147">
        <f>F36+N36</f>
        <v>193080</v>
      </c>
      <c r="R36" s="147">
        <f>Q36+O36</f>
        <v>200880</v>
      </c>
      <c r="S36" s="147">
        <f>P36+R36</f>
        <v>208920</v>
      </c>
      <c r="T36" s="146" t="s">
        <v>387</v>
      </c>
    </row>
    <row r="37" spans="1:21" x14ac:dyDescent="0.2">
      <c r="A37" s="142">
        <v>19</v>
      </c>
      <c r="B37" s="302" t="s">
        <v>20</v>
      </c>
      <c r="C37" s="142"/>
      <c r="D37" s="142">
        <v>1</v>
      </c>
      <c r="E37" s="142">
        <v>1</v>
      </c>
      <c r="F37" s="109">
        <f>'ข้อ 11 บัญชีแสดงฯ(64-66)'!J53</f>
        <v>120960</v>
      </c>
      <c r="G37" s="144">
        <v>0</v>
      </c>
      <c r="H37" s="143">
        <v>1</v>
      </c>
      <c r="I37" s="143">
        <v>1</v>
      </c>
      <c r="J37" s="143">
        <v>1</v>
      </c>
      <c r="K37" s="303">
        <v>0</v>
      </c>
      <c r="L37" s="144">
        <v>0</v>
      </c>
      <c r="M37" s="144">
        <v>0</v>
      </c>
      <c r="N37" s="144">
        <f>คชจ.พนง.จ้าง!E2</f>
        <v>4920</v>
      </c>
      <c r="O37" s="144">
        <f>คชจ.พนง.จ้าง!I2</f>
        <v>5040</v>
      </c>
      <c r="P37" s="144">
        <f>คชจ.พนง.จ้าง!M2</f>
        <v>5280</v>
      </c>
      <c r="Q37" s="192">
        <f t="shared" ref="Q37" si="6">F37+N37</f>
        <v>125880</v>
      </c>
      <c r="R37" s="192">
        <f t="shared" ref="R37" si="7">Q37+O37</f>
        <v>130920</v>
      </c>
      <c r="S37" s="192">
        <f t="shared" ref="S37" si="8">P37+R37</f>
        <v>136200</v>
      </c>
      <c r="T37" s="143" t="s">
        <v>389</v>
      </c>
    </row>
    <row r="38" spans="1:21" x14ac:dyDescent="0.2">
      <c r="T38" s="77"/>
    </row>
    <row r="39" spans="1:21" x14ac:dyDescent="0.2">
      <c r="T39" s="77"/>
    </row>
    <row r="40" spans="1:21" x14ac:dyDescent="0.2">
      <c r="T40" s="77"/>
    </row>
    <row r="41" spans="1:21" x14ac:dyDescent="0.2">
      <c r="T41" s="77"/>
    </row>
    <row r="42" spans="1:21" x14ac:dyDescent="0.2">
      <c r="A42" s="153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3"/>
    </row>
    <row r="43" spans="1:21" s="154" customFormat="1" x14ac:dyDescent="0.2">
      <c r="A43" s="153"/>
      <c r="T43" s="153"/>
    </row>
    <row r="44" spans="1:21" s="154" customFormat="1" x14ac:dyDescent="0.2">
      <c r="A44" s="153"/>
      <c r="T44" s="153"/>
    </row>
    <row r="45" spans="1:21" s="154" customFormat="1" x14ac:dyDescent="0.2">
      <c r="A45" s="153"/>
      <c r="T45" s="153"/>
    </row>
    <row r="46" spans="1:21" s="154" customFormat="1" x14ac:dyDescent="0.2">
      <c r="A46" s="153"/>
      <c r="C46" s="155"/>
      <c r="D46" s="155"/>
      <c r="E46" s="155"/>
      <c r="F46" s="156"/>
      <c r="G46" s="156"/>
      <c r="H46" s="155"/>
      <c r="I46" s="155"/>
      <c r="J46" s="155"/>
      <c r="K46" s="157"/>
      <c r="L46" s="155"/>
      <c r="M46" s="155"/>
      <c r="N46" s="156"/>
      <c r="O46" s="156"/>
      <c r="P46" s="156"/>
      <c r="Q46" s="158"/>
      <c r="R46" s="158"/>
      <c r="S46" s="158"/>
      <c r="T46" s="159"/>
      <c r="U46" s="158"/>
    </row>
    <row r="47" spans="1:21" x14ac:dyDescent="0.2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</row>
    <row r="48" spans="1:21" x14ac:dyDescent="0.2">
      <c r="A48" s="504" t="s">
        <v>1</v>
      </c>
      <c r="B48" s="504" t="s">
        <v>2</v>
      </c>
      <c r="C48" s="298" t="s">
        <v>40</v>
      </c>
      <c r="D48" s="299" t="s">
        <v>140</v>
      </c>
      <c r="E48" s="512" t="s">
        <v>141</v>
      </c>
      <c r="F48" s="513"/>
      <c r="G48" s="514"/>
      <c r="H48" s="512" t="s">
        <v>4</v>
      </c>
      <c r="I48" s="513"/>
      <c r="J48" s="514"/>
      <c r="K48" s="512" t="s">
        <v>5</v>
      </c>
      <c r="L48" s="513"/>
      <c r="M48" s="514"/>
      <c r="N48" s="498" t="s">
        <v>254</v>
      </c>
      <c r="O48" s="499"/>
      <c r="P48" s="500"/>
      <c r="Q48" s="498" t="s">
        <v>252</v>
      </c>
      <c r="R48" s="499"/>
      <c r="S48" s="500"/>
      <c r="T48" s="504" t="s">
        <v>42</v>
      </c>
    </row>
    <row r="49" spans="1:20" x14ac:dyDescent="0.2">
      <c r="A49" s="510"/>
      <c r="B49" s="510"/>
      <c r="C49" s="300" t="s">
        <v>39</v>
      </c>
      <c r="D49" s="118" t="s">
        <v>142</v>
      </c>
      <c r="E49" s="119" t="s">
        <v>140</v>
      </c>
      <c r="F49" s="298" t="s">
        <v>36</v>
      </c>
      <c r="G49" s="298" t="s">
        <v>246</v>
      </c>
      <c r="H49" s="507" t="s">
        <v>8</v>
      </c>
      <c r="I49" s="508"/>
      <c r="J49" s="509"/>
      <c r="K49" s="507" t="s">
        <v>9</v>
      </c>
      <c r="L49" s="508"/>
      <c r="M49" s="509"/>
      <c r="N49" s="501"/>
      <c r="O49" s="502"/>
      <c r="P49" s="503"/>
      <c r="Q49" s="501"/>
      <c r="R49" s="502"/>
      <c r="S49" s="503"/>
      <c r="T49" s="505"/>
    </row>
    <row r="50" spans="1:20" x14ac:dyDescent="0.2">
      <c r="A50" s="511"/>
      <c r="B50" s="511"/>
      <c r="C50" s="297"/>
      <c r="D50" s="321"/>
      <c r="E50" s="121" t="s">
        <v>143</v>
      </c>
      <c r="F50" s="307" t="s">
        <v>248</v>
      </c>
      <c r="G50" s="301" t="s">
        <v>247</v>
      </c>
      <c r="H50" s="172" t="s">
        <v>286</v>
      </c>
      <c r="I50" s="172" t="s">
        <v>250</v>
      </c>
      <c r="J50" s="172" t="s">
        <v>251</v>
      </c>
      <c r="K50" s="172">
        <v>2654</v>
      </c>
      <c r="L50" s="160">
        <v>2565</v>
      </c>
      <c r="M50" s="160">
        <v>2566</v>
      </c>
      <c r="N50" s="322" t="s">
        <v>249</v>
      </c>
      <c r="O50" s="322" t="s">
        <v>250</v>
      </c>
      <c r="P50" s="322" t="s">
        <v>251</v>
      </c>
      <c r="Q50" s="322" t="s">
        <v>249</v>
      </c>
      <c r="R50" s="322" t="s">
        <v>250</v>
      </c>
      <c r="S50" s="322" t="s">
        <v>251</v>
      </c>
      <c r="T50" s="506"/>
    </row>
    <row r="51" spans="1:20" x14ac:dyDescent="0.2">
      <c r="A51" s="126"/>
      <c r="B51" s="191" t="s">
        <v>21</v>
      </c>
      <c r="C51" s="168"/>
      <c r="D51" s="168"/>
      <c r="E51" s="129"/>
      <c r="F51" s="129"/>
      <c r="G51" s="129"/>
      <c r="H51" s="310"/>
      <c r="I51" s="310"/>
      <c r="J51" s="310"/>
      <c r="K51" s="310"/>
      <c r="L51" s="310"/>
      <c r="M51" s="310"/>
      <c r="N51" s="129"/>
      <c r="O51" s="129"/>
      <c r="P51" s="129"/>
      <c r="Q51" s="129"/>
      <c r="R51" s="129"/>
      <c r="S51" s="129"/>
      <c r="T51" s="126"/>
    </row>
    <row r="52" spans="1:20" x14ac:dyDescent="0.2">
      <c r="A52" s="145">
        <v>20</v>
      </c>
      <c r="B52" s="188" t="s">
        <v>22</v>
      </c>
      <c r="C52" s="145"/>
      <c r="D52" s="145">
        <v>1</v>
      </c>
      <c r="E52" s="145">
        <v>1</v>
      </c>
      <c r="F52" s="107">
        <f>'ข้อ 11 บัญชีแสดงฯ(64-66)'!J56</f>
        <v>108000</v>
      </c>
      <c r="G52" s="131">
        <v>0</v>
      </c>
      <c r="H52" s="146">
        <v>1</v>
      </c>
      <c r="I52" s="146">
        <v>1</v>
      </c>
      <c r="J52" s="146">
        <v>1</v>
      </c>
      <c r="K52" s="308">
        <v>0</v>
      </c>
      <c r="L52" s="161">
        <v>0</v>
      </c>
      <c r="M52" s="161">
        <v>0</v>
      </c>
      <c r="N52" s="161">
        <v>0</v>
      </c>
      <c r="O52" s="161">
        <v>0</v>
      </c>
      <c r="P52" s="161">
        <v>0</v>
      </c>
      <c r="Q52" s="107">
        <f t="shared" ref="Q52:S54" si="9">9000*12</f>
        <v>108000</v>
      </c>
      <c r="R52" s="107">
        <f t="shared" si="9"/>
        <v>108000</v>
      </c>
      <c r="S52" s="107">
        <f t="shared" si="9"/>
        <v>108000</v>
      </c>
      <c r="T52" s="433" t="s">
        <v>188</v>
      </c>
    </row>
    <row r="53" spans="1:20" x14ac:dyDescent="0.2">
      <c r="A53" s="133">
        <v>21</v>
      </c>
      <c r="B53" s="127" t="s">
        <v>303</v>
      </c>
      <c r="C53" s="133"/>
      <c r="D53" s="133">
        <v>1</v>
      </c>
      <c r="E53" s="133">
        <v>1</v>
      </c>
      <c r="F53" s="103">
        <f>'ข้อ 11 บัญชีแสดงฯ(64-66)'!J60</f>
        <v>108000</v>
      </c>
      <c r="G53" s="141">
        <v>0</v>
      </c>
      <c r="H53" s="134">
        <v>1</v>
      </c>
      <c r="I53" s="134">
        <v>1</v>
      </c>
      <c r="J53" s="134">
        <v>1</v>
      </c>
      <c r="K53" s="187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03">
        <f t="shared" si="9"/>
        <v>108000</v>
      </c>
      <c r="R53" s="103">
        <f t="shared" si="9"/>
        <v>108000</v>
      </c>
      <c r="S53" s="103">
        <f t="shared" si="9"/>
        <v>108000</v>
      </c>
      <c r="T53" s="134" t="s">
        <v>188</v>
      </c>
    </row>
    <row r="54" spans="1:20" ht="13.5" thickBot="1" x14ac:dyDescent="0.25">
      <c r="A54" s="140">
        <v>22</v>
      </c>
      <c r="B54" s="139" t="s">
        <v>23</v>
      </c>
      <c r="C54" s="140"/>
      <c r="D54" s="140">
        <v>1</v>
      </c>
      <c r="E54" s="140">
        <v>1</v>
      </c>
      <c r="F54" s="112">
        <f>'ข้อ 11 บัญชีแสดงฯ(64-66)'!J58</f>
        <v>108000</v>
      </c>
      <c r="G54" s="141">
        <v>0</v>
      </c>
      <c r="H54" s="164">
        <v>1</v>
      </c>
      <c r="I54" s="164">
        <v>1</v>
      </c>
      <c r="J54" s="164">
        <v>1</v>
      </c>
      <c r="K54" s="251">
        <v>0</v>
      </c>
      <c r="L54" s="141">
        <v>0</v>
      </c>
      <c r="M54" s="141">
        <v>0</v>
      </c>
      <c r="N54" s="141">
        <v>0</v>
      </c>
      <c r="O54" s="141">
        <v>0</v>
      </c>
      <c r="P54" s="141">
        <v>0</v>
      </c>
      <c r="Q54" s="112">
        <f t="shared" si="9"/>
        <v>108000</v>
      </c>
      <c r="R54" s="112">
        <f t="shared" si="9"/>
        <v>108000</v>
      </c>
      <c r="S54" s="112">
        <f t="shared" si="9"/>
        <v>108000</v>
      </c>
      <c r="T54" s="164" t="s">
        <v>188</v>
      </c>
    </row>
    <row r="55" spans="1:20" x14ac:dyDescent="0.2">
      <c r="A55" s="244"/>
      <c r="B55" s="245" t="s">
        <v>24</v>
      </c>
      <c r="C55" s="244"/>
      <c r="D55" s="244"/>
      <c r="E55" s="246"/>
      <c r="F55" s="246"/>
      <c r="G55" s="246"/>
      <c r="H55" s="246"/>
      <c r="I55" s="246"/>
      <c r="J55" s="246"/>
      <c r="K55" s="246"/>
      <c r="L55" s="246"/>
      <c r="M55" s="246"/>
      <c r="N55" s="247"/>
      <c r="O55" s="247"/>
      <c r="P55" s="247"/>
      <c r="Q55" s="248"/>
      <c r="R55" s="248"/>
      <c r="S55" s="248"/>
      <c r="T55" s="244"/>
    </row>
    <row r="56" spans="1:20" x14ac:dyDescent="0.2">
      <c r="A56" s="145">
        <v>23</v>
      </c>
      <c r="B56" s="193" t="s">
        <v>359</v>
      </c>
      <c r="C56" s="145" t="s">
        <v>49</v>
      </c>
      <c r="D56" s="145">
        <v>1</v>
      </c>
      <c r="E56" s="145">
        <v>1</v>
      </c>
      <c r="F56" s="107">
        <f>'ข้อ 11 บัญชีแสดงฯ(64-66)'!J72</f>
        <v>455520</v>
      </c>
      <c r="G56" s="107">
        <f>'ข้อ 11 บัญชีแสดงฯ(64-66)'!K72</f>
        <v>42000</v>
      </c>
      <c r="H56" s="146">
        <v>1</v>
      </c>
      <c r="I56" s="146">
        <v>1</v>
      </c>
      <c r="J56" s="146">
        <v>1</v>
      </c>
      <c r="K56" s="161">
        <v>0</v>
      </c>
      <c r="L56" s="161">
        <v>0</v>
      </c>
      <c r="M56" s="161">
        <v>0</v>
      </c>
      <c r="N56" s="107">
        <f>(39080-37960)*12</f>
        <v>13440</v>
      </c>
      <c r="O56" s="107">
        <f>(40260-39080)*12</f>
        <v>14160</v>
      </c>
      <c r="P56" s="107">
        <f>(41550-40260)*12</f>
        <v>15480</v>
      </c>
      <c r="Q56" s="147">
        <f>F56+G56+N56</f>
        <v>510960</v>
      </c>
      <c r="R56" s="147">
        <f t="shared" ref="R56:R61" si="10">Q56+O56</f>
        <v>525120</v>
      </c>
      <c r="S56" s="147">
        <f>P56+R56</f>
        <v>540600</v>
      </c>
      <c r="T56" s="146" t="s">
        <v>390</v>
      </c>
    </row>
    <row r="57" spans="1:20" x14ac:dyDescent="0.2">
      <c r="A57" s="133">
        <v>24</v>
      </c>
      <c r="B57" s="127" t="s">
        <v>98</v>
      </c>
      <c r="C57" s="133" t="s">
        <v>56</v>
      </c>
      <c r="D57" s="133">
        <v>1</v>
      </c>
      <c r="E57" s="133">
        <v>1</v>
      </c>
      <c r="F57" s="103">
        <f>'ข้อ 11 บัญชีแสดงฯ(64-66)'!J74</f>
        <v>349320</v>
      </c>
      <c r="G57" s="141">
        <v>0</v>
      </c>
      <c r="H57" s="134">
        <v>1</v>
      </c>
      <c r="I57" s="134">
        <v>1</v>
      </c>
      <c r="J57" s="134">
        <v>1</v>
      </c>
      <c r="K57" s="135">
        <v>0</v>
      </c>
      <c r="L57" s="135">
        <v>0</v>
      </c>
      <c r="M57" s="135">
        <v>0</v>
      </c>
      <c r="N57" s="103">
        <f>(30220-29110)*12</f>
        <v>13320</v>
      </c>
      <c r="O57" s="103">
        <f>(31340-30220)*12</f>
        <v>13440</v>
      </c>
      <c r="P57" s="103">
        <f>(32450-31340)*12</f>
        <v>13320</v>
      </c>
      <c r="Q57" s="132">
        <f>F57+N57</f>
        <v>362640</v>
      </c>
      <c r="R57" s="132">
        <f t="shared" si="10"/>
        <v>376080</v>
      </c>
      <c r="S57" s="132">
        <f t="shared" ref="S57:S62" si="11">P57+R57</f>
        <v>389400</v>
      </c>
      <c r="T57" s="134" t="s">
        <v>391</v>
      </c>
    </row>
    <row r="58" spans="1:20" x14ac:dyDescent="0.2">
      <c r="A58" s="133">
        <v>25</v>
      </c>
      <c r="B58" s="127" t="s">
        <v>100</v>
      </c>
      <c r="C58" s="133" t="s">
        <v>392</v>
      </c>
      <c r="D58" s="133">
        <v>1</v>
      </c>
      <c r="E58" s="304" t="s">
        <v>80</v>
      </c>
      <c r="F58" s="103">
        <f>'ข้อ 11 บัญชีแสดงฯ(64-66)'!J76</f>
        <v>355320</v>
      </c>
      <c r="G58" s="141">
        <v>0</v>
      </c>
      <c r="H58" s="134">
        <v>1</v>
      </c>
      <c r="I58" s="134">
        <v>1</v>
      </c>
      <c r="J58" s="134">
        <v>1</v>
      </c>
      <c r="K58" s="187">
        <v>0</v>
      </c>
      <c r="L58" s="135">
        <v>0</v>
      </c>
      <c r="M58" s="135">
        <v>0</v>
      </c>
      <c r="N58" s="129">
        <f>((49480-47990)+(10250-9740))/2*12</f>
        <v>12000</v>
      </c>
      <c r="O58" s="103">
        <f>N58</f>
        <v>12000</v>
      </c>
      <c r="P58" s="103">
        <f>N58</f>
        <v>12000</v>
      </c>
      <c r="Q58" s="132">
        <f>F58+N58</f>
        <v>367320</v>
      </c>
      <c r="R58" s="132">
        <f t="shared" si="10"/>
        <v>379320</v>
      </c>
      <c r="S58" s="132">
        <f t="shared" si="11"/>
        <v>391320</v>
      </c>
      <c r="T58" s="134" t="s">
        <v>161</v>
      </c>
    </row>
    <row r="59" spans="1:20" x14ac:dyDescent="0.2">
      <c r="A59" s="133">
        <v>26</v>
      </c>
      <c r="B59" s="127" t="s">
        <v>151</v>
      </c>
      <c r="C59" s="133" t="s">
        <v>105</v>
      </c>
      <c r="D59" s="133">
        <v>1</v>
      </c>
      <c r="E59" s="133">
        <v>1</v>
      </c>
      <c r="F59" s="103">
        <f>'ข้อ 11 บัญชีแสดงฯ(64-66)'!J78</f>
        <v>275040</v>
      </c>
      <c r="G59" s="141">
        <v>0</v>
      </c>
      <c r="H59" s="134">
        <v>1</v>
      </c>
      <c r="I59" s="134">
        <v>1</v>
      </c>
      <c r="J59" s="134">
        <v>1</v>
      </c>
      <c r="K59" s="135">
        <v>0</v>
      </c>
      <c r="L59" s="135">
        <v>0</v>
      </c>
      <c r="M59" s="135">
        <v>0</v>
      </c>
      <c r="N59" s="103">
        <f>(23820-22920)*12</f>
        <v>10800</v>
      </c>
      <c r="O59" s="103">
        <f>(24730-23820)*12</f>
        <v>10920</v>
      </c>
      <c r="P59" s="103">
        <f>(25660-24730)*12</f>
        <v>11160</v>
      </c>
      <c r="Q59" s="132">
        <f>F59+N59</f>
        <v>285840</v>
      </c>
      <c r="R59" s="132">
        <f>Q59+O59</f>
        <v>296760</v>
      </c>
      <c r="S59" s="132">
        <f t="shared" si="11"/>
        <v>307920</v>
      </c>
      <c r="T59" s="134" t="s">
        <v>393</v>
      </c>
    </row>
    <row r="60" spans="1:20" x14ac:dyDescent="0.2">
      <c r="A60" s="133">
        <v>27</v>
      </c>
      <c r="B60" s="127" t="s">
        <v>152</v>
      </c>
      <c r="C60" s="133" t="s">
        <v>71</v>
      </c>
      <c r="D60" s="133">
        <v>1</v>
      </c>
      <c r="E60" s="137" t="s">
        <v>80</v>
      </c>
      <c r="F60" s="103">
        <f>'ข้อ 11 บัญชีแสดงฯ(64-66)'!J80</f>
        <v>297900</v>
      </c>
      <c r="G60" s="141">
        <v>0</v>
      </c>
      <c r="H60" s="134">
        <v>1</v>
      </c>
      <c r="I60" s="134">
        <v>1</v>
      </c>
      <c r="J60" s="134">
        <v>1</v>
      </c>
      <c r="K60" s="187">
        <v>0</v>
      </c>
      <c r="L60" s="135">
        <v>0</v>
      </c>
      <c r="M60" s="135">
        <v>0</v>
      </c>
      <c r="N60" s="103">
        <f>((40900-39620)+(9090-8750))/2*12</f>
        <v>9720</v>
      </c>
      <c r="O60" s="103">
        <f>N60</f>
        <v>9720</v>
      </c>
      <c r="P60" s="103">
        <f>N60</f>
        <v>9720</v>
      </c>
      <c r="Q60" s="132">
        <f>F60+N60</f>
        <v>307620</v>
      </c>
      <c r="R60" s="132">
        <f>Q60+O60</f>
        <v>317340</v>
      </c>
      <c r="S60" s="132">
        <f>P60+R60</f>
        <v>327060</v>
      </c>
      <c r="T60" s="134" t="s">
        <v>161</v>
      </c>
    </row>
    <row r="61" spans="1:20" x14ac:dyDescent="0.2">
      <c r="A61" s="133">
        <v>28</v>
      </c>
      <c r="B61" s="139" t="s">
        <v>106</v>
      </c>
      <c r="C61" s="140" t="s">
        <v>71</v>
      </c>
      <c r="D61" s="140">
        <v>1</v>
      </c>
      <c r="E61" s="163">
        <v>0</v>
      </c>
      <c r="F61" s="103">
        <f>'ข้อ 11 บัญชีแสดงฯ(64-66)'!J82</f>
        <v>297900</v>
      </c>
      <c r="G61" s="141">
        <v>0</v>
      </c>
      <c r="H61" s="134">
        <v>1</v>
      </c>
      <c r="I61" s="134">
        <v>1</v>
      </c>
      <c r="J61" s="134">
        <v>1</v>
      </c>
      <c r="K61" s="187">
        <v>0</v>
      </c>
      <c r="L61" s="135">
        <v>0</v>
      </c>
      <c r="M61" s="135">
        <v>0</v>
      </c>
      <c r="N61" s="103">
        <f>((40900-39620)+(9090-8750))/2*12</f>
        <v>9720</v>
      </c>
      <c r="O61" s="103">
        <f>N61</f>
        <v>9720</v>
      </c>
      <c r="P61" s="103">
        <f>N61</f>
        <v>9720</v>
      </c>
      <c r="Q61" s="132">
        <f t="shared" ref="Q61" si="12">F61+N61</f>
        <v>307620</v>
      </c>
      <c r="R61" s="132">
        <f t="shared" si="10"/>
        <v>317340</v>
      </c>
      <c r="S61" s="132">
        <f t="shared" si="11"/>
        <v>327060</v>
      </c>
      <c r="T61" s="133" t="s">
        <v>161</v>
      </c>
    </row>
    <row r="62" spans="1:20" x14ac:dyDescent="0.2">
      <c r="A62" s="133">
        <v>29</v>
      </c>
      <c r="B62" s="127" t="s">
        <v>109</v>
      </c>
      <c r="C62" s="133" t="s">
        <v>105</v>
      </c>
      <c r="D62" s="133">
        <v>1</v>
      </c>
      <c r="E62" s="133">
        <v>1</v>
      </c>
      <c r="F62" s="103">
        <f>'ข้อ 11 บัญชีแสดงฯ(64-66)'!J84</f>
        <v>285840</v>
      </c>
      <c r="G62" s="141">
        <v>0</v>
      </c>
      <c r="H62" s="134">
        <v>1</v>
      </c>
      <c r="I62" s="134">
        <v>1</v>
      </c>
      <c r="J62" s="134">
        <v>1</v>
      </c>
      <c r="K62" s="135">
        <v>0</v>
      </c>
      <c r="L62" s="135">
        <v>0</v>
      </c>
      <c r="M62" s="135">
        <v>0</v>
      </c>
      <c r="N62" s="103">
        <f>(24730-23820)*12</f>
        <v>10920</v>
      </c>
      <c r="O62" s="103">
        <f>(25660-24730)*12</f>
        <v>11160</v>
      </c>
      <c r="P62" s="103">
        <f>(26580-25660)*12</f>
        <v>11040</v>
      </c>
      <c r="Q62" s="132">
        <f>F62+N62</f>
        <v>296760</v>
      </c>
      <c r="R62" s="132">
        <f>Q62+O62</f>
        <v>307920</v>
      </c>
      <c r="S62" s="132">
        <f t="shared" si="11"/>
        <v>318960</v>
      </c>
      <c r="T62" s="134" t="s">
        <v>394</v>
      </c>
    </row>
    <row r="63" spans="1:20" x14ac:dyDescent="0.2">
      <c r="A63" s="140"/>
      <c r="B63" s="185" t="s">
        <v>26</v>
      </c>
      <c r="C63" s="140"/>
      <c r="D63" s="140"/>
      <c r="E63" s="164"/>
      <c r="F63" s="112"/>
      <c r="G63" s="112"/>
      <c r="H63" s="164"/>
      <c r="I63" s="164"/>
      <c r="J63" s="164"/>
      <c r="K63" s="164"/>
      <c r="L63" s="164"/>
      <c r="M63" s="164"/>
      <c r="N63" s="112"/>
      <c r="O63" s="112"/>
      <c r="P63" s="112"/>
      <c r="Q63" s="165"/>
      <c r="R63" s="165"/>
      <c r="S63" s="165"/>
      <c r="T63" s="140"/>
    </row>
    <row r="64" spans="1:20" x14ac:dyDescent="0.2">
      <c r="A64" s="145">
        <v>30</v>
      </c>
      <c r="B64" s="188" t="s">
        <v>109</v>
      </c>
      <c r="C64" s="145"/>
      <c r="D64" s="145">
        <v>1</v>
      </c>
      <c r="E64" s="146">
        <v>1</v>
      </c>
      <c r="F64" s="107">
        <f>'ข้อ 11 บัญชีแสดงฯ(64-66)'!J87</f>
        <v>214560</v>
      </c>
      <c r="G64" s="131">
        <v>0</v>
      </c>
      <c r="H64" s="146">
        <v>1</v>
      </c>
      <c r="I64" s="146">
        <v>1</v>
      </c>
      <c r="J64" s="146">
        <v>1</v>
      </c>
      <c r="K64" s="161">
        <v>0</v>
      </c>
      <c r="L64" s="161">
        <v>0</v>
      </c>
      <c r="M64" s="161">
        <v>0</v>
      </c>
      <c r="N64" s="107">
        <f>(18480-17880)*12</f>
        <v>7200</v>
      </c>
      <c r="O64" s="107">
        <f>(19100-18480)*12</f>
        <v>7440</v>
      </c>
      <c r="P64" s="107">
        <f>(19720-19100)*12</f>
        <v>7440</v>
      </c>
      <c r="Q64" s="147">
        <f>F64+N64</f>
        <v>221760</v>
      </c>
      <c r="R64" s="147">
        <f t="shared" ref="R64" si="13">Q64+O64</f>
        <v>229200</v>
      </c>
      <c r="S64" s="147">
        <f t="shared" ref="S64" si="14">P64+R64</f>
        <v>236640</v>
      </c>
      <c r="T64" s="146" t="s">
        <v>257</v>
      </c>
    </row>
    <row r="65" spans="1:20" x14ac:dyDescent="0.2">
      <c r="A65" s="140"/>
      <c r="B65" s="242" t="s">
        <v>176</v>
      </c>
      <c r="C65" s="140"/>
      <c r="D65" s="140"/>
      <c r="E65" s="164"/>
      <c r="F65" s="112"/>
      <c r="G65" s="112"/>
      <c r="H65" s="164"/>
      <c r="I65" s="164"/>
      <c r="J65" s="164"/>
      <c r="K65" s="141"/>
      <c r="L65" s="141"/>
      <c r="M65" s="141"/>
      <c r="N65" s="112"/>
      <c r="O65" s="112"/>
      <c r="P65" s="112"/>
      <c r="Q65" s="165"/>
      <c r="R65" s="165"/>
      <c r="S65" s="165"/>
      <c r="T65" s="140"/>
    </row>
    <row r="66" spans="1:20" x14ac:dyDescent="0.2">
      <c r="A66" s="145">
        <v>31</v>
      </c>
      <c r="B66" s="188" t="s">
        <v>162</v>
      </c>
      <c r="C66" s="145"/>
      <c r="D66" s="145">
        <v>1</v>
      </c>
      <c r="E66" s="146">
        <v>1</v>
      </c>
      <c r="F66" s="107">
        <f>'ข้อ 11 บัญชีแสดงฯ(64-66)'!J90</f>
        <v>155640</v>
      </c>
      <c r="G66" s="131">
        <v>0</v>
      </c>
      <c r="H66" s="146">
        <v>1</v>
      </c>
      <c r="I66" s="146">
        <v>1</v>
      </c>
      <c r="J66" s="146">
        <v>1</v>
      </c>
      <c r="K66" s="161">
        <v>0</v>
      </c>
      <c r="L66" s="161">
        <v>0</v>
      </c>
      <c r="M66" s="161">
        <v>0</v>
      </c>
      <c r="N66" s="107">
        <f>คชจ.พนง.จ้าง!E11</f>
        <v>6240</v>
      </c>
      <c r="O66" s="107">
        <f>คชจ.พนง.จ้าง!I11</f>
        <v>6480</v>
      </c>
      <c r="P66" s="107">
        <f>คชจ.พนง.จ้าง!M11</f>
        <v>6840</v>
      </c>
      <c r="Q66" s="147">
        <f t="shared" ref="Q66" si="15">F66+N66</f>
        <v>161880</v>
      </c>
      <c r="R66" s="147">
        <f t="shared" ref="R66:R67" si="16">Q66+O66</f>
        <v>168360</v>
      </c>
      <c r="S66" s="147">
        <f t="shared" ref="S66:S67" si="17">P66+R66</f>
        <v>175200</v>
      </c>
      <c r="T66" s="146" t="s">
        <v>256</v>
      </c>
    </row>
    <row r="67" spans="1:20" ht="13.5" thickBot="1" x14ac:dyDescent="0.25">
      <c r="A67" s="140">
        <v>32</v>
      </c>
      <c r="B67" s="139" t="s">
        <v>184</v>
      </c>
      <c r="C67" s="140"/>
      <c r="D67" s="140">
        <v>1</v>
      </c>
      <c r="E67" s="231">
        <v>1</v>
      </c>
      <c r="F67" s="112">
        <f>'ข้อ 11 บัญชีแสดงฯ(64-66)'!J92</f>
        <v>135480</v>
      </c>
      <c r="G67" s="141">
        <v>0</v>
      </c>
      <c r="H67" s="226">
        <v>1</v>
      </c>
      <c r="I67" s="226">
        <v>1</v>
      </c>
      <c r="J67" s="226">
        <v>1</v>
      </c>
      <c r="K67" s="141" t="s">
        <v>80</v>
      </c>
      <c r="L67" s="243">
        <v>0</v>
      </c>
      <c r="M67" s="243">
        <v>0</v>
      </c>
      <c r="N67" s="112">
        <f>คชจ.พนง.จ้าง!E10</f>
        <v>5520</v>
      </c>
      <c r="O67" s="112">
        <f>คชจ.พนง.จ้าง!I10</f>
        <v>5640</v>
      </c>
      <c r="P67" s="112">
        <f>คชจ.พนง.จ้าง!M10</f>
        <v>5880</v>
      </c>
      <c r="Q67" s="165">
        <f>F67+N67</f>
        <v>141000</v>
      </c>
      <c r="R67" s="165">
        <f t="shared" si="16"/>
        <v>146640</v>
      </c>
      <c r="S67" s="165">
        <f t="shared" si="17"/>
        <v>152520</v>
      </c>
      <c r="T67" s="164" t="s">
        <v>395</v>
      </c>
    </row>
    <row r="68" spans="1:20" x14ac:dyDescent="0.2">
      <c r="A68" s="244"/>
      <c r="B68" s="245" t="s">
        <v>27</v>
      </c>
      <c r="C68" s="244"/>
      <c r="D68" s="244"/>
      <c r="E68" s="246"/>
      <c r="F68" s="246"/>
      <c r="G68" s="246"/>
      <c r="H68" s="246"/>
      <c r="I68" s="246"/>
      <c r="J68" s="246"/>
      <c r="K68" s="246"/>
      <c r="L68" s="246"/>
      <c r="M68" s="246"/>
      <c r="N68" s="247"/>
      <c r="O68" s="247"/>
      <c r="P68" s="247"/>
      <c r="Q68" s="248"/>
      <c r="R68" s="248"/>
      <c r="S68" s="248"/>
      <c r="T68" s="244"/>
    </row>
    <row r="69" spans="1:20" x14ac:dyDescent="0.2">
      <c r="A69" s="145">
        <v>33</v>
      </c>
      <c r="B69" s="188" t="s">
        <v>153</v>
      </c>
      <c r="C69" s="145" t="s">
        <v>49</v>
      </c>
      <c r="D69" s="145">
        <v>1</v>
      </c>
      <c r="E69" s="145">
        <v>1</v>
      </c>
      <c r="F69" s="107">
        <f>'ข้อ 11 บัญชีแสดงฯ(64-66)'!J96</f>
        <v>396000</v>
      </c>
      <c r="G69" s="107">
        <f>'ข้อ 11 บัญชีแสดงฯ(64-66)'!K96</f>
        <v>42000</v>
      </c>
      <c r="H69" s="146">
        <v>1</v>
      </c>
      <c r="I69" s="146">
        <v>1</v>
      </c>
      <c r="J69" s="146">
        <v>1</v>
      </c>
      <c r="K69" s="161">
        <v>0</v>
      </c>
      <c r="L69" s="161">
        <v>0</v>
      </c>
      <c r="M69" s="161">
        <v>0</v>
      </c>
      <c r="N69" s="107">
        <f>(34110-33000)*12</f>
        <v>13320</v>
      </c>
      <c r="O69" s="107">
        <f>(35220-34110)*12</f>
        <v>13320</v>
      </c>
      <c r="P69" s="107">
        <f>(36310-35220)*12</f>
        <v>13080</v>
      </c>
      <c r="Q69" s="147">
        <f>F69+G69+N69</f>
        <v>451320</v>
      </c>
      <c r="R69" s="147">
        <f t="shared" ref="R69:R74" si="18">Q69+O69</f>
        <v>464640</v>
      </c>
      <c r="S69" s="147">
        <f t="shared" ref="S69:S74" si="19">P69+R69</f>
        <v>477720</v>
      </c>
      <c r="T69" s="146" t="s">
        <v>396</v>
      </c>
    </row>
    <row r="70" spans="1:20" x14ac:dyDescent="0.2">
      <c r="A70" s="145">
        <v>34</v>
      </c>
      <c r="B70" s="139" t="s">
        <v>76</v>
      </c>
      <c r="C70" s="140" t="s">
        <v>77</v>
      </c>
      <c r="D70" s="140">
        <v>1</v>
      </c>
      <c r="E70" s="164">
        <v>1</v>
      </c>
      <c r="F70" s="112">
        <f>'ข้อ 11 บัญชีแสดงฯ(64-66)'!J105</f>
        <v>218280</v>
      </c>
      <c r="G70" s="141">
        <v>0</v>
      </c>
      <c r="H70" s="164">
        <v>1</v>
      </c>
      <c r="I70" s="164">
        <v>1</v>
      </c>
      <c r="J70" s="164">
        <v>1</v>
      </c>
      <c r="K70" s="141">
        <v>0</v>
      </c>
      <c r="L70" s="141">
        <v>0</v>
      </c>
      <c r="M70" s="141">
        <v>0</v>
      </c>
      <c r="N70" s="112">
        <f>(18790-18190)*12</f>
        <v>7200</v>
      </c>
      <c r="O70" s="112">
        <f>(19410-18790)*12</f>
        <v>7440</v>
      </c>
      <c r="P70" s="112">
        <f>(20040-19410)*12</f>
        <v>7560</v>
      </c>
      <c r="Q70" s="165">
        <f>F70+N70</f>
        <v>225480</v>
      </c>
      <c r="R70" s="165">
        <f>Q70+O70</f>
        <v>232920</v>
      </c>
      <c r="S70" s="165">
        <f>P70+R70</f>
        <v>240480</v>
      </c>
      <c r="T70" s="164" t="s">
        <v>397</v>
      </c>
    </row>
    <row r="71" spans="1:20" x14ac:dyDescent="0.2">
      <c r="A71" s="145">
        <v>35</v>
      </c>
      <c r="B71" s="127" t="s">
        <v>119</v>
      </c>
      <c r="C71" s="133" t="s">
        <v>77</v>
      </c>
      <c r="D71" s="133">
        <v>1</v>
      </c>
      <c r="E71" s="137">
        <v>1</v>
      </c>
      <c r="F71" s="103">
        <f>'ข้อ 11 บัญชีแสดงฯ(64-66)'!J107</f>
        <v>158760</v>
      </c>
      <c r="G71" s="141">
        <v>0</v>
      </c>
      <c r="H71" s="134">
        <v>1</v>
      </c>
      <c r="I71" s="134">
        <v>1</v>
      </c>
      <c r="J71" s="134">
        <v>1</v>
      </c>
      <c r="K71" s="187">
        <v>0</v>
      </c>
      <c r="L71" s="135">
        <v>0</v>
      </c>
      <c r="M71" s="135">
        <v>0</v>
      </c>
      <c r="N71" s="103">
        <f>(13760-13230)*12</f>
        <v>6360</v>
      </c>
      <c r="O71" s="103">
        <f>(14310-13760)*12</f>
        <v>6600</v>
      </c>
      <c r="P71" s="103">
        <f>(14850-14310)*12</f>
        <v>6480</v>
      </c>
      <c r="Q71" s="132">
        <f>F71+N71</f>
        <v>165120</v>
      </c>
      <c r="R71" s="132">
        <f>Q71+O71</f>
        <v>171720</v>
      </c>
      <c r="S71" s="132">
        <f>P71+R71</f>
        <v>178200</v>
      </c>
      <c r="T71" s="134" t="s">
        <v>398</v>
      </c>
    </row>
    <row r="72" spans="1:20" x14ac:dyDescent="0.2">
      <c r="A72" s="133">
        <v>36</v>
      </c>
      <c r="B72" s="127" t="s">
        <v>119</v>
      </c>
      <c r="C72" s="133" t="s">
        <v>105</v>
      </c>
      <c r="D72" s="133">
        <v>1</v>
      </c>
      <c r="E72" s="134">
        <v>1</v>
      </c>
      <c r="F72" s="103">
        <f>'ข้อ 11 บัญชีแสดงฯ(64-66)'!J109</f>
        <v>302280</v>
      </c>
      <c r="G72" s="141">
        <v>0</v>
      </c>
      <c r="H72" s="134">
        <v>1</v>
      </c>
      <c r="I72" s="134">
        <v>1</v>
      </c>
      <c r="J72" s="134">
        <v>1</v>
      </c>
      <c r="K72" s="135">
        <v>0</v>
      </c>
      <c r="L72" s="135">
        <v>0</v>
      </c>
      <c r="M72" s="135">
        <v>0</v>
      </c>
      <c r="N72" s="103">
        <f>(26120-25190)*12</f>
        <v>11160</v>
      </c>
      <c r="O72" s="103">
        <f>(27030-26120)*12</f>
        <v>10920</v>
      </c>
      <c r="P72" s="103">
        <f>(27960-27030)*12</f>
        <v>11160</v>
      </c>
      <c r="Q72" s="132">
        <f>F72+N72</f>
        <v>313440</v>
      </c>
      <c r="R72" s="132">
        <f t="shared" si="18"/>
        <v>324360</v>
      </c>
      <c r="S72" s="132">
        <f t="shared" si="19"/>
        <v>335520</v>
      </c>
      <c r="T72" s="134" t="s">
        <v>399</v>
      </c>
    </row>
    <row r="73" spans="1:20" x14ac:dyDescent="0.2">
      <c r="A73" s="133">
        <v>37</v>
      </c>
      <c r="B73" s="127" t="s">
        <v>124</v>
      </c>
      <c r="C73" s="133" t="s">
        <v>77</v>
      </c>
      <c r="D73" s="133">
        <v>1</v>
      </c>
      <c r="E73" s="137">
        <v>1</v>
      </c>
      <c r="F73" s="103">
        <f>'ข้อ 11 บัญชีแสดงฯ(64-66)'!J111</f>
        <v>140400</v>
      </c>
      <c r="G73" s="141">
        <v>0</v>
      </c>
      <c r="H73" s="134">
        <v>1</v>
      </c>
      <c r="I73" s="134">
        <v>1</v>
      </c>
      <c r="J73" s="134">
        <v>1</v>
      </c>
      <c r="K73" s="187">
        <v>0</v>
      </c>
      <c r="L73" s="135">
        <v>0</v>
      </c>
      <c r="M73" s="135">
        <v>0</v>
      </c>
      <c r="N73" s="103">
        <f>(12220-11700)*12</f>
        <v>6240</v>
      </c>
      <c r="O73" s="103">
        <f>(12730-12220)*12</f>
        <v>6120</v>
      </c>
      <c r="P73" s="103">
        <f>(13230-12730)*12</f>
        <v>6000</v>
      </c>
      <c r="Q73" s="132">
        <f>F73+N73</f>
        <v>146640</v>
      </c>
      <c r="R73" s="132">
        <f>Q73+O73</f>
        <v>152760</v>
      </c>
      <c r="S73" s="132">
        <f>P73+R73</f>
        <v>158760</v>
      </c>
      <c r="T73" s="134" t="s">
        <v>382</v>
      </c>
    </row>
    <row r="74" spans="1:20" x14ac:dyDescent="0.2">
      <c r="A74" s="133">
        <v>38</v>
      </c>
      <c r="B74" s="127" t="s">
        <v>372</v>
      </c>
      <c r="C74" s="133" t="s">
        <v>71</v>
      </c>
      <c r="D74" s="133">
        <v>1</v>
      </c>
      <c r="E74" s="137" t="s">
        <v>135</v>
      </c>
      <c r="F74" s="103">
        <f>'ข้อ 11 บัญชีแสดงฯ(64-66)'!J113</f>
        <v>297900</v>
      </c>
      <c r="G74" s="141">
        <v>0</v>
      </c>
      <c r="H74" s="134">
        <v>1</v>
      </c>
      <c r="I74" s="134">
        <v>1</v>
      </c>
      <c r="J74" s="134">
        <v>1</v>
      </c>
      <c r="K74" s="187">
        <v>0</v>
      </c>
      <c r="L74" s="135">
        <v>0</v>
      </c>
      <c r="M74" s="135">
        <v>0</v>
      </c>
      <c r="N74" s="103">
        <f t="shared" ref="N74" si="20">((40900-39620)+(9090-8750))/2*12</f>
        <v>9720</v>
      </c>
      <c r="O74" s="103">
        <f t="shared" ref="O74" si="21">N74</f>
        <v>9720</v>
      </c>
      <c r="P74" s="103">
        <f t="shared" ref="P74" si="22">N74</f>
        <v>9720</v>
      </c>
      <c r="Q74" s="132">
        <f t="shared" ref="Q74" si="23">F74+N74</f>
        <v>307620</v>
      </c>
      <c r="R74" s="132">
        <f t="shared" si="18"/>
        <v>317340</v>
      </c>
      <c r="S74" s="132">
        <f t="shared" si="19"/>
        <v>327060</v>
      </c>
      <c r="T74" s="133" t="s">
        <v>161</v>
      </c>
    </row>
    <row r="75" spans="1:20" x14ac:dyDescent="0.2">
      <c r="A75" s="140"/>
      <c r="B75" s="242" t="s">
        <v>176</v>
      </c>
      <c r="C75" s="140"/>
      <c r="D75" s="140"/>
      <c r="E75" s="164"/>
      <c r="F75" s="189"/>
      <c r="G75" s="189"/>
      <c r="H75" s="164"/>
      <c r="I75" s="164"/>
      <c r="J75" s="164"/>
      <c r="K75" s="141"/>
      <c r="L75" s="141"/>
      <c r="M75" s="141"/>
      <c r="N75" s="112"/>
      <c r="O75" s="112"/>
      <c r="P75" s="112"/>
      <c r="Q75" s="165"/>
      <c r="R75" s="165"/>
      <c r="S75" s="165"/>
      <c r="T75" s="140"/>
    </row>
    <row r="76" spans="1:20" x14ac:dyDescent="0.2">
      <c r="A76" s="145">
        <v>39</v>
      </c>
      <c r="B76" s="188" t="s">
        <v>164</v>
      </c>
      <c r="C76" s="145"/>
      <c r="D76" s="145">
        <v>1</v>
      </c>
      <c r="E76" s="146">
        <v>1</v>
      </c>
      <c r="F76" s="114">
        <f>'ข้อ 11 บัญชีแสดงฯ(64-66)'!J116</f>
        <v>183000</v>
      </c>
      <c r="G76" s="131">
        <v>0</v>
      </c>
      <c r="H76" s="146">
        <v>1</v>
      </c>
      <c r="I76" s="146">
        <v>1</v>
      </c>
      <c r="J76" s="146">
        <v>1</v>
      </c>
      <c r="K76" s="161">
        <v>0</v>
      </c>
      <c r="L76" s="161">
        <v>0</v>
      </c>
      <c r="M76" s="161">
        <v>0</v>
      </c>
      <c r="N76" s="107">
        <f>คชจ.พนง.จ้าง!E3</f>
        <v>7320</v>
      </c>
      <c r="O76" s="107">
        <f>คชจ.พนง.จ้าง!I3</f>
        <v>7680</v>
      </c>
      <c r="P76" s="107">
        <f>คชจ.พนง.จ้าง!M3</f>
        <v>7920</v>
      </c>
      <c r="Q76" s="147">
        <f t="shared" ref="Q76:Q78" si="24">F76+N76</f>
        <v>190320</v>
      </c>
      <c r="R76" s="147">
        <f t="shared" ref="R76:R78" si="25">Q76+O76</f>
        <v>198000</v>
      </c>
      <c r="S76" s="147">
        <f t="shared" ref="S76:S78" si="26">P76+R76</f>
        <v>205920</v>
      </c>
      <c r="T76" s="146" t="s">
        <v>400</v>
      </c>
    </row>
    <row r="77" spans="1:20" x14ac:dyDescent="0.2">
      <c r="A77" s="133">
        <v>40</v>
      </c>
      <c r="B77" s="166" t="s">
        <v>163</v>
      </c>
      <c r="C77" s="133"/>
      <c r="D77" s="133">
        <v>1</v>
      </c>
      <c r="E77" s="134">
        <v>1</v>
      </c>
      <c r="F77" s="148">
        <f>'ข้อ 11 บัญชีแสดงฯ(64-66)'!J118</f>
        <v>140160</v>
      </c>
      <c r="G77" s="141">
        <v>0</v>
      </c>
      <c r="H77" s="134">
        <v>1</v>
      </c>
      <c r="I77" s="134">
        <v>1</v>
      </c>
      <c r="J77" s="134">
        <v>1</v>
      </c>
      <c r="K77" s="135">
        <v>0</v>
      </c>
      <c r="L77" s="135">
        <v>0</v>
      </c>
      <c r="M77" s="135">
        <v>0</v>
      </c>
      <c r="N77" s="103">
        <f>คชจ.พนง.จ้าง!E17</f>
        <v>5640</v>
      </c>
      <c r="O77" s="103">
        <f>คชจ.พนง.จ้าง!I17</f>
        <v>5880</v>
      </c>
      <c r="P77" s="103">
        <f>คชจ.พนง.จ้าง!M17</f>
        <v>6120</v>
      </c>
      <c r="Q77" s="132">
        <f t="shared" si="24"/>
        <v>145800</v>
      </c>
      <c r="R77" s="132">
        <f t="shared" si="25"/>
        <v>151680</v>
      </c>
      <c r="S77" s="132">
        <f t="shared" si="26"/>
        <v>157800</v>
      </c>
      <c r="T77" s="134" t="s">
        <v>401</v>
      </c>
    </row>
    <row r="78" spans="1:20" x14ac:dyDescent="0.2">
      <c r="A78" s="142">
        <v>41</v>
      </c>
      <c r="B78" s="230" t="s">
        <v>172</v>
      </c>
      <c r="C78" s="142"/>
      <c r="D78" s="221">
        <v>1</v>
      </c>
      <c r="E78" s="305">
        <v>1</v>
      </c>
      <c r="F78" s="109">
        <f>'ข้อ 11 บัญชีแสดงฯ(64-66)'!J120</f>
        <v>148560</v>
      </c>
      <c r="G78" s="144">
        <v>0</v>
      </c>
      <c r="H78" s="220">
        <v>1</v>
      </c>
      <c r="I78" s="220">
        <v>1</v>
      </c>
      <c r="J78" s="220">
        <v>1</v>
      </c>
      <c r="K78" s="219">
        <v>0</v>
      </c>
      <c r="L78" s="219">
        <v>0</v>
      </c>
      <c r="M78" s="219">
        <v>0</v>
      </c>
      <c r="N78" s="109">
        <f>คชจ.พนง.จ้าง!E15</f>
        <v>6000</v>
      </c>
      <c r="O78" s="109">
        <f>คชจ.พนง.จ้าง!I15</f>
        <v>6240</v>
      </c>
      <c r="P78" s="109">
        <f>คชจ.พนง.จ้าง!M15</f>
        <v>6480</v>
      </c>
      <c r="Q78" s="192">
        <f t="shared" si="24"/>
        <v>154560</v>
      </c>
      <c r="R78" s="192">
        <f t="shared" si="25"/>
        <v>160800</v>
      </c>
      <c r="S78" s="192">
        <f t="shared" si="26"/>
        <v>167280</v>
      </c>
      <c r="T78" s="143" t="s">
        <v>385</v>
      </c>
    </row>
    <row r="79" spans="1:20" x14ac:dyDescent="0.2">
      <c r="T79" s="77"/>
    </row>
    <row r="80" spans="1:20" x14ac:dyDescent="0.2">
      <c r="T80" s="77"/>
    </row>
    <row r="81" spans="1:21" x14ac:dyDescent="0.2">
      <c r="T81" s="77"/>
      <c r="U81" s="152"/>
    </row>
    <row r="82" spans="1:21" x14ac:dyDescent="0.2">
      <c r="T82" s="77"/>
      <c r="U82" s="152"/>
    </row>
    <row r="83" spans="1:21" x14ac:dyDescent="0.2">
      <c r="T83" s="77"/>
      <c r="U83" s="152"/>
    </row>
    <row r="84" spans="1:21" x14ac:dyDescent="0.2">
      <c r="T84" s="77"/>
      <c r="U84" s="152"/>
    </row>
    <row r="85" spans="1:21" x14ac:dyDescent="0.2">
      <c r="T85" s="77"/>
      <c r="U85" s="152"/>
    </row>
    <row r="86" spans="1:21" x14ac:dyDescent="0.2">
      <c r="T86" s="77"/>
      <c r="U86" s="152"/>
    </row>
    <row r="87" spans="1:21" x14ac:dyDescent="0.2">
      <c r="T87" s="77"/>
      <c r="U87" s="152"/>
    </row>
    <row r="88" spans="1:21" x14ac:dyDescent="0.2">
      <c r="T88" s="77"/>
      <c r="U88" s="152"/>
    </row>
    <row r="89" spans="1:21" x14ac:dyDescent="0.2">
      <c r="T89" s="77"/>
      <c r="U89" s="152"/>
    </row>
    <row r="90" spans="1:21" x14ac:dyDescent="0.2">
      <c r="A90" s="153"/>
      <c r="U90" s="152"/>
    </row>
    <row r="91" spans="1:21" ht="12" customHeight="1" x14ac:dyDescent="0.2">
      <c r="A91" s="504" t="s">
        <v>1</v>
      </c>
      <c r="B91" s="504" t="s">
        <v>2</v>
      </c>
      <c r="C91" s="298" t="s">
        <v>40</v>
      </c>
      <c r="D91" s="299" t="s">
        <v>140</v>
      </c>
      <c r="E91" s="512" t="s">
        <v>141</v>
      </c>
      <c r="F91" s="513"/>
      <c r="G91" s="514"/>
      <c r="H91" s="512" t="s">
        <v>4</v>
      </c>
      <c r="I91" s="513"/>
      <c r="J91" s="514"/>
      <c r="K91" s="512" t="s">
        <v>5</v>
      </c>
      <c r="L91" s="513"/>
      <c r="M91" s="514"/>
      <c r="N91" s="498" t="s">
        <v>254</v>
      </c>
      <c r="O91" s="499"/>
      <c r="P91" s="500"/>
      <c r="Q91" s="498" t="s">
        <v>252</v>
      </c>
      <c r="R91" s="499"/>
      <c r="S91" s="500"/>
      <c r="T91" s="504" t="s">
        <v>42</v>
      </c>
      <c r="U91" s="152"/>
    </row>
    <row r="92" spans="1:21" x14ac:dyDescent="0.2">
      <c r="A92" s="510"/>
      <c r="B92" s="510"/>
      <c r="C92" s="300" t="s">
        <v>39</v>
      </c>
      <c r="D92" s="118" t="s">
        <v>142</v>
      </c>
      <c r="E92" s="119" t="s">
        <v>140</v>
      </c>
      <c r="F92" s="298" t="s">
        <v>36</v>
      </c>
      <c r="G92" s="298" t="s">
        <v>246</v>
      </c>
      <c r="H92" s="507" t="s">
        <v>8</v>
      </c>
      <c r="I92" s="508"/>
      <c r="J92" s="509"/>
      <c r="K92" s="507" t="s">
        <v>9</v>
      </c>
      <c r="L92" s="508"/>
      <c r="M92" s="509"/>
      <c r="N92" s="501"/>
      <c r="O92" s="502"/>
      <c r="P92" s="503"/>
      <c r="Q92" s="501"/>
      <c r="R92" s="502"/>
      <c r="S92" s="503"/>
      <c r="T92" s="505"/>
    </row>
    <row r="93" spans="1:21" x14ac:dyDescent="0.2">
      <c r="A93" s="511"/>
      <c r="B93" s="511"/>
      <c r="C93" s="297"/>
      <c r="D93" s="321"/>
      <c r="E93" s="121" t="s">
        <v>143</v>
      </c>
      <c r="F93" s="307" t="s">
        <v>248</v>
      </c>
      <c r="G93" s="301" t="s">
        <v>247</v>
      </c>
      <c r="H93" s="172" t="s">
        <v>286</v>
      </c>
      <c r="I93" s="172" t="s">
        <v>250</v>
      </c>
      <c r="J93" s="172" t="s">
        <v>251</v>
      </c>
      <c r="K93" s="172">
        <v>2654</v>
      </c>
      <c r="L93" s="160">
        <v>2565</v>
      </c>
      <c r="M93" s="160">
        <v>2566</v>
      </c>
      <c r="N93" s="322" t="s">
        <v>249</v>
      </c>
      <c r="O93" s="322" t="s">
        <v>250</v>
      </c>
      <c r="P93" s="322" t="s">
        <v>251</v>
      </c>
      <c r="Q93" s="322" t="s">
        <v>249</v>
      </c>
      <c r="R93" s="322" t="s">
        <v>250</v>
      </c>
      <c r="S93" s="322" t="s">
        <v>251</v>
      </c>
      <c r="T93" s="506"/>
    </row>
    <row r="94" spans="1:21" x14ac:dyDescent="0.2">
      <c r="A94" s="126"/>
      <c r="B94" s="309" t="s">
        <v>178</v>
      </c>
      <c r="C94" s="126"/>
      <c r="D94" s="126"/>
      <c r="E94" s="130"/>
      <c r="F94" s="168"/>
      <c r="G94" s="168"/>
      <c r="H94" s="130"/>
      <c r="I94" s="130"/>
      <c r="J94" s="130"/>
      <c r="K94" s="131"/>
      <c r="L94" s="131"/>
      <c r="M94" s="131"/>
      <c r="N94" s="129"/>
      <c r="O94" s="129"/>
      <c r="P94" s="129"/>
      <c r="Q94" s="162"/>
      <c r="R94" s="162"/>
      <c r="S94" s="162"/>
      <c r="T94" s="126"/>
    </row>
    <row r="95" spans="1:21" x14ac:dyDescent="0.2">
      <c r="A95" s="145">
        <v>42</v>
      </c>
      <c r="B95" s="188" t="s">
        <v>30</v>
      </c>
      <c r="C95" s="145"/>
      <c r="D95" s="145">
        <v>1</v>
      </c>
      <c r="E95" s="146">
        <v>1</v>
      </c>
      <c r="F95" s="114">
        <f>'ข้อ 11 บัญชีแสดงฯ(64-66)'!J123</f>
        <v>153600</v>
      </c>
      <c r="G95" s="131">
        <v>0</v>
      </c>
      <c r="H95" s="146">
        <v>1</v>
      </c>
      <c r="I95" s="146">
        <v>1</v>
      </c>
      <c r="J95" s="146">
        <v>1</v>
      </c>
      <c r="K95" s="308">
        <v>0</v>
      </c>
      <c r="L95" s="308">
        <v>0</v>
      </c>
      <c r="M95" s="308">
        <v>0</v>
      </c>
      <c r="N95" s="107">
        <f>คชจ.พนง.จ้าง!E13</f>
        <v>6240</v>
      </c>
      <c r="O95" s="107">
        <f>คชจ.พนง.จ้าง!I13</f>
        <v>6480</v>
      </c>
      <c r="P95" s="107">
        <f>คชจ.พนง.จ้าง!M13</f>
        <v>6720</v>
      </c>
      <c r="Q95" s="147">
        <f>F95+N95</f>
        <v>159840</v>
      </c>
      <c r="R95" s="147">
        <f t="shared" ref="R95" si="27">Q95+O95</f>
        <v>166320</v>
      </c>
      <c r="S95" s="147">
        <f t="shared" ref="S95" si="28">P95+R95</f>
        <v>173040</v>
      </c>
      <c r="T95" s="146" t="s">
        <v>402</v>
      </c>
    </row>
    <row r="96" spans="1:21" x14ac:dyDescent="0.2">
      <c r="A96" s="133">
        <v>43</v>
      </c>
      <c r="B96" s="127" t="s">
        <v>30</v>
      </c>
      <c r="C96" s="133"/>
      <c r="D96" s="133">
        <v>1</v>
      </c>
      <c r="E96" s="137">
        <v>1</v>
      </c>
      <c r="F96" s="148">
        <f>'ข้อ 11 บัญชีแสดงฯ(64-66)'!J125</f>
        <v>136200</v>
      </c>
      <c r="G96" s="135">
        <v>0</v>
      </c>
      <c r="H96" s="134">
        <v>1</v>
      </c>
      <c r="I96" s="134">
        <v>1</v>
      </c>
      <c r="J96" s="134">
        <v>1</v>
      </c>
      <c r="K96" s="187">
        <v>0</v>
      </c>
      <c r="L96" s="187">
        <v>0</v>
      </c>
      <c r="M96" s="187">
        <v>0</v>
      </c>
      <c r="N96" s="103">
        <f>คชจ.พนง.จ้าง!E6</f>
        <v>5520</v>
      </c>
      <c r="O96" s="103">
        <f>คชจ.พนง.จ้าง!I6</f>
        <v>5760</v>
      </c>
      <c r="P96" s="103">
        <f>คชจ.พนง.จ้าง!M6</f>
        <v>6000</v>
      </c>
      <c r="Q96" s="132">
        <f>F96+N96</f>
        <v>141720</v>
      </c>
      <c r="R96" s="132">
        <f>Q96+O96</f>
        <v>147480</v>
      </c>
      <c r="S96" s="132">
        <f>P96+R96</f>
        <v>153480</v>
      </c>
      <c r="T96" s="134" t="s">
        <v>403</v>
      </c>
    </row>
    <row r="97" spans="1:20" x14ac:dyDescent="0.2">
      <c r="A97" s="133">
        <v>44</v>
      </c>
      <c r="B97" s="127" t="s">
        <v>22</v>
      </c>
      <c r="C97" s="133"/>
      <c r="D97" s="133">
        <v>1</v>
      </c>
      <c r="E97" s="133">
        <v>1</v>
      </c>
      <c r="F97" s="103">
        <f>'ข้อ 11 บัญชีแสดงฯ(64-66)'!J127</f>
        <v>120360</v>
      </c>
      <c r="G97" s="135">
        <v>0</v>
      </c>
      <c r="H97" s="134">
        <v>1</v>
      </c>
      <c r="I97" s="134">
        <v>1</v>
      </c>
      <c r="J97" s="134">
        <v>1</v>
      </c>
      <c r="K97" s="187">
        <v>0</v>
      </c>
      <c r="L97" s="135">
        <v>0</v>
      </c>
      <c r="M97" s="135">
        <v>0</v>
      </c>
      <c r="N97" s="135">
        <f>คชจ.พนง.จ้าง!E5</f>
        <v>4920</v>
      </c>
      <c r="O97" s="135">
        <f>คชจ.พนง.จ้าง!I5</f>
        <v>5040</v>
      </c>
      <c r="P97" s="135">
        <f>คชจ.พนง.จ้าง!M5</f>
        <v>5280</v>
      </c>
      <c r="Q97" s="132">
        <f>F97+N97</f>
        <v>125280</v>
      </c>
      <c r="R97" s="132">
        <f>Q97+O97</f>
        <v>130320</v>
      </c>
      <c r="S97" s="132">
        <f>P97+R97</f>
        <v>135600</v>
      </c>
      <c r="T97" s="134" t="s">
        <v>388</v>
      </c>
    </row>
    <row r="98" spans="1:20" x14ac:dyDescent="0.2">
      <c r="A98" s="126"/>
      <c r="B98" s="191" t="s">
        <v>21</v>
      </c>
      <c r="C98" s="126"/>
      <c r="D98" s="126"/>
      <c r="E98" s="130"/>
      <c r="F98" s="168"/>
      <c r="G98" s="168"/>
      <c r="H98" s="130"/>
      <c r="I98" s="130"/>
      <c r="J98" s="130"/>
      <c r="K98" s="184">
        <v>0</v>
      </c>
      <c r="L98" s="131"/>
      <c r="M98" s="131"/>
      <c r="N98" s="129"/>
      <c r="O98" s="129"/>
      <c r="P98" s="129"/>
      <c r="Q98" s="162"/>
      <c r="R98" s="162"/>
      <c r="S98" s="162"/>
      <c r="T98" s="126"/>
    </row>
    <row r="99" spans="1:20" x14ac:dyDescent="0.2">
      <c r="A99" s="145">
        <v>45</v>
      </c>
      <c r="B99" s="188" t="s">
        <v>30</v>
      </c>
      <c r="C99" s="145"/>
      <c r="D99" s="145">
        <v>1</v>
      </c>
      <c r="E99" s="203">
        <v>1</v>
      </c>
      <c r="F99" s="114">
        <f>'ข้อ 11 บัญชีแสดงฯ(64-66)'!J143</f>
        <v>108000</v>
      </c>
      <c r="G99" s="131">
        <v>0</v>
      </c>
      <c r="H99" s="146">
        <v>1</v>
      </c>
      <c r="I99" s="146">
        <v>1</v>
      </c>
      <c r="J99" s="146">
        <v>1</v>
      </c>
      <c r="K99" s="190">
        <v>0</v>
      </c>
      <c r="L99" s="183">
        <v>0</v>
      </c>
      <c r="M99" s="183">
        <v>0</v>
      </c>
      <c r="N99" s="114">
        <v>0</v>
      </c>
      <c r="O99" s="114">
        <v>0</v>
      </c>
      <c r="P99" s="114">
        <v>0</v>
      </c>
      <c r="Q99" s="147">
        <f t="shared" ref="Q99" si="29">F99+N99</f>
        <v>108000</v>
      </c>
      <c r="R99" s="147">
        <f t="shared" ref="R99:R101" si="30">Q99+O99</f>
        <v>108000</v>
      </c>
      <c r="S99" s="147">
        <f t="shared" ref="S99:S101" si="31">P99+R99</f>
        <v>108000</v>
      </c>
      <c r="T99" s="146" t="s">
        <v>188</v>
      </c>
    </row>
    <row r="100" spans="1:20" x14ac:dyDescent="0.2">
      <c r="A100" s="133">
        <v>46</v>
      </c>
      <c r="B100" s="127" t="s">
        <v>30</v>
      </c>
      <c r="C100" s="145"/>
      <c r="D100" s="145">
        <v>1</v>
      </c>
      <c r="E100" s="134">
        <v>1</v>
      </c>
      <c r="F100" s="148">
        <f>'ข้อ 11 บัญชีแสดงฯ(64-66)'!J145</f>
        <v>108000</v>
      </c>
      <c r="G100" s="141">
        <v>0</v>
      </c>
      <c r="H100" s="134">
        <v>1</v>
      </c>
      <c r="I100" s="134">
        <v>1</v>
      </c>
      <c r="J100" s="134">
        <v>1</v>
      </c>
      <c r="K100" s="167">
        <v>0</v>
      </c>
      <c r="L100" s="135">
        <v>0</v>
      </c>
      <c r="M100" s="135">
        <v>0</v>
      </c>
      <c r="N100" s="135">
        <v>0</v>
      </c>
      <c r="O100" s="135">
        <v>0</v>
      </c>
      <c r="P100" s="135">
        <v>0</v>
      </c>
      <c r="Q100" s="132">
        <f>F100+N100</f>
        <v>108000</v>
      </c>
      <c r="R100" s="132">
        <f t="shared" si="30"/>
        <v>108000</v>
      </c>
      <c r="S100" s="132">
        <f t="shared" si="31"/>
        <v>108000</v>
      </c>
      <c r="T100" s="134" t="s">
        <v>188</v>
      </c>
    </row>
    <row r="101" spans="1:20" x14ac:dyDescent="0.2">
      <c r="A101" s="140">
        <v>47</v>
      </c>
      <c r="B101" s="139" t="s">
        <v>133</v>
      </c>
      <c r="C101" s="140"/>
      <c r="D101" s="140">
        <v>1</v>
      </c>
      <c r="E101" s="231">
        <v>1</v>
      </c>
      <c r="F101" s="189">
        <f>'ข้อ 11 บัญชีแสดงฯ(64-66)'!J139</f>
        <v>108000</v>
      </c>
      <c r="G101" s="141">
        <v>0</v>
      </c>
      <c r="H101" s="164">
        <v>1</v>
      </c>
      <c r="I101" s="164">
        <v>1</v>
      </c>
      <c r="J101" s="164">
        <v>1</v>
      </c>
      <c r="K101" s="232">
        <v>0</v>
      </c>
      <c r="L101" s="141">
        <v>0</v>
      </c>
      <c r="M101" s="141">
        <v>0</v>
      </c>
      <c r="N101" s="141">
        <v>0</v>
      </c>
      <c r="O101" s="141">
        <v>0</v>
      </c>
      <c r="P101" s="141">
        <v>0</v>
      </c>
      <c r="Q101" s="165">
        <f>F101+N101</f>
        <v>108000</v>
      </c>
      <c r="R101" s="165">
        <f t="shared" si="30"/>
        <v>108000</v>
      </c>
      <c r="S101" s="165">
        <f t="shared" si="31"/>
        <v>108000</v>
      </c>
      <c r="T101" s="134" t="s">
        <v>188</v>
      </c>
    </row>
    <row r="102" spans="1:20" ht="13.5" thickBot="1" x14ac:dyDescent="0.25">
      <c r="A102" s="140">
        <v>48</v>
      </c>
      <c r="B102" s="139" t="s">
        <v>133</v>
      </c>
      <c r="C102" s="140"/>
      <c r="D102" s="140">
        <v>1</v>
      </c>
      <c r="E102" s="231">
        <v>1</v>
      </c>
      <c r="F102" s="189">
        <f>'ข้อ 11 บัญชีแสดงฯ(64-66)'!J141</f>
        <v>108000</v>
      </c>
      <c r="G102" s="141">
        <v>0</v>
      </c>
      <c r="H102" s="164">
        <v>1</v>
      </c>
      <c r="I102" s="164">
        <v>1</v>
      </c>
      <c r="J102" s="164">
        <v>1</v>
      </c>
      <c r="K102" s="243">
        <v>0</v>
      </c>
      <c r="L102" s="243">
        <v>0</v>
      </c>
      <c r="M102" s="243">
        <v>0</v>
      </c>
      <c r="N102" s="141">
        <v>0</v>
      </c>
      <c r="O102" s="141">
        <v>0</v>
      </c>
      <c r="P102" s="141">
        <v>0</v>
      </c>
      <c r="Q102" s="165">
        <f>F102+N102</f>
        <v>108000</v>
      </c>
      <c r="R102" s="165">
        <f t="shared" ref="R102" si="32">Q102+O102</f>
        <v>108000</v>
      </c>
      <c r="S102" s="165">
        <f t="shared" ref="S102" si="33">P102+R102</f>
        <v>108000</v>
      </c>
      <c r="T102" s="164" t="s">
        <v>188</v>
      </c>
    </row>
    <row r="103" spans="1:20" x14ac:dyDescent="0.2">
      <c r="A103" s="249"/>
      <c r="B103" s="250" t="s">
        <v>159</v>
      </c>
      <c r="C103" s="249"/>
      <c r="D103" s="249"/>
      <c r="E103" s="249"/>
      <c r="F103" s="249"/>
      <c r="G103" s="249"/>
      <c r="H103" s="249"/>
      <c r="I103" s="249"/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4"/>
    </row>
    <row r="104" spans="1:20" x14ac:dyDescent="0.2">
      <c r="A104" s="145">
        <v>49</v>
      </c>
      <c r="B104" s="193" t="s">
        <v>360</v>
      </c>
      <c r="C104" s="194" t="s">
        <v>49</v>
      </c>
      <c r="D104" s="145">
        <v>1</v>
      </c>
      <c r="E104" s="203">
        <v>1</v>
      </c>
      <c r="F104" s="195">
        <f>'ข้อ 11 บัญชีแสดงฯ(64-66)'!J149</f>
        <v>369480</v>
      </c>
      <c r="G104" s="195">
        <f>'ข้อ 11 บัญชีแสดงฯ(64-66)'!K149</f>
        <v>42000</v>
      </c>
      <c r="H104" s="145">
        <v>1</v>
      </c>
      <c r="I104" s="145">
        <v>1</v>
      </c>
      <c r="J104" s="145">
        <v>1</v>
      </c>
      <c r="K104" s="161">
        <v>0</v>
      </c>
      <c r="L104" s="161">
        <v>0</v>
      </c>
      <c r="M104" s="161">
        <v>0</v>
      </c>
      <c r="N104" s="107">
        <f>(31880-30790)*12</f>
        <v>13080</v>
      </c>
      <c r="O104" s="107">
        <f>(33000-31880)*12</f>
        <v>13440</v>
      </c>
      <c r="P104" s="107">
        <f>(34110-33000)*12</f>
        <v>13320</v>
      </c>
      <c r="Q104" s="147">
        <f>F104+G104+N104</f>
        <v>424560</v>
      </c>
      <c r="R104" s="147">
        <f>Q104+O104</f>
        <v>438000</v>
      </c>
      <c r="S104" s="147">
        <f>P104+R104</f>
        <v>451320</v>
      </c>
      <c r="T104" s="146" t="s">
        <v>379</v>
      </c>
    </row>
    <row r="105" spans="1:20" x14ac:dyDescent="0.2">
      <c r="A105" s="140">
        <v>50</v>
      </c>
      <c r="B105" s="139" t="s">
        <v>147</v>
      </c>
      <c r="C105" s="186" t="s">
        <v>65</v>
      </c>
      <c r="D105" s="140">
        <v>1</v>
      </c>
      <c r="E105" s="164">
        <v>1</v>
      </c>
      <c r="F105" s="112">
        <f>'ข้อ 11 บัญชีแสดงฯ(64-66)'!J151</f>
        <v>303240</v>
      </c>
      <c r="G105" s="141">
        <v>0</v>
      </c>
      <c r="H105" s="164">
        <v>1</v>
      </c>
      <c r="I105" s="164">
        <v>1</v>
      </c>
      <c r="J105" s="164">
        <v>1</v>
      </c>
      <c r="K105" s="141">
        <v>0</v>
      </c>
      <c r="L105" s="141">
        <v>0</v>
      </c>
      <c r="M105" s="141">
        <v>0</v>
      </c>
      <c r="N105" s="103">
        <f>(26080-25270)*12</f>
        <v>9720</v>
      </c>
      <c r="O105" s="112">
        <f>(26920-26080)*12</f>
        <v>10080</v>
      </c>
      <c r="P105" s="112">
        <f>(27800-26920)*12</f>
        <v>10560</v>
      </c>
      <c r="Q105" s="165">
        <f>F105+N105</f>
        <v>312960</v>
      </c>
      <c r="R105" s="165">
        <f>Q105+O105</f>
        <v>323040</v>
      </c>
      <c r="S105" s="165">
        <f>P105+R105</f>
        <v>333600</v>
      </c>
      <c r="T105" s="164" t="s">
        <v>404</v>
      </c>
    </row>
    <row r="106" spans="1:20" x14ac:dyDescent="0.2">
      <c r="A106" s="140">
        <v>51</v>
      </c>
      <c r="B106" s="139" t="s">
        <v>98</v>
      </c>
      <c r="C106" s="186" t="s">
        <v>392</v>
      </c>
      <c r="D106" s="140">
        <v>1</v>
      </c>
      <c r="E106" s="164" t="s">
        <v>80</v>
      </c>
      <c r="F106" s="112">
        <f>'ข้อ 11 บัญชีแสดงฯ(64-66)'!J153</f>
        <v>349320</v>
      </c>
      <c r="G106" s="141"/>
      <c r="H106" s="164">
        <v>1</v>
      </c>
      <c r="I106" s="164">
        <v>1</v>
      </c>
      <c r="J106" s="164">
        <v>1</v>
      </c>
      <c r="K106" s="141" t="s">
        <v>212</v>
      </c>
      <c r="L106" s="141">
        <v>0</v>
      </c>
      <c r="M106" s="141">
        <v>0</v>
      </c>
      <c r="N106" s="103">
        <f>((49480-47990)+(10250-9740))/2*12</f>
        <v>12000</v>
      </c>
      <c r="O106" s="103">
        <f>N106</f>
        <v>12000</v>
      </c>
      <c r="P106" s="103">
        <f>N106</f>
        <v>12000</v>
      </c>
      <c r="Q106" s="132">
        <f>F106+N106</f>
        <v>361320</v>
      </c>
      <c r="R106" s="132">
        <f t="shared" ref="R106" si="34">Q106+O106</f>
        <v>373320</v>
      </c>
      <c r="S106" s="132">
        <f t="shared" ref="S106" si="35">P106+R106</f>
        <v>385320</v>
      </c>
      <c r="T106" s="477" t="s">
        <v>466</v>
      </c>
    </row>
    <row r="107" spans="1:20" x14ac:dyDescent="0.2">
      <c r="A107" s="140"/>
      <c r="B107" s="242" t="s">
        <v>176</v>
      </c>
      <c r="C107" s="186"/>
      <c r="D107" s="140"/>
      <c r="E107" s="164"/>
      <c r="F107" s="112"/>
      <c r="G107" s="141"/>
      <c r="H107" s="164"/>
      <c r="I107" s="164"/>
      <c r="J107" s="164"/>
      <c r="K107" s="141"/>
      <c r="L107" s="141"/>
      <c r="M107" s="141"/>
      <c r="N107" s="112"/>
      <c r="O107" s="112"/>
      <c r="P107" s="112"/>
      <c r="Q107" s="165"/>
      <c r="R107" s="165"/>
      <c r="S107" s="165"/>
      <c r="T107" s="477" t="s">
        <v>467</v>
      </c>
    </row>
    <row r="108" spans="1:20" x14ac:dyDescent="0.2">
      <c r="A108" s="145">
        <v>52</v>
      </c>
      <c r="B108" s="188" t="s">
        <v>18</v>
      </c>
      <c r="C108" s="114"/>
      <c r="D108" s="227">
        <v>1</v>
      </c>
      <c r="E108" s="227">
        <v>1</v>
      </c>
      <c r="F108" s="107">
        <f>'ข้อ 11 บัญชีแสดงฯ(64-66)'!J156</f>
        <v>244440</v>
      </c>
      <c r="G108" s="161">
        <v>0</v>
      </c>
      <c r="H108" s="228">
        <v>1</v>
      </c>
      <c r="I108" s="228">
        <v>1</v>
      </c>
      <c r="J108" s="228">
        <v>1</v>
      </c>
      <c r="K108" s="183">
        <v>0</v>
      </c>
      <c r="L108" s="183">
        <v>0</v>
      </c>
      <c r="M108" s="183">
        <v>0</v>
      </c>
      <c r="N108" s="107">
        <f>คชจ.พนง.จ้าง!E4</f>
        <v>9840</v>
      </c>
      <c r="O108" s="107">
        <f>คชจ.พนง.จ้าง!I4</f>
        <v>10200</v>
      </c>
      <c r="P108" s="107">
        <f>คชจ.พนง.จ้าง!M4</f>
        <v>10680</v>
      </c>
      <c r="Q108" s="147">
        <f>F108+N108</f>
        <v>254280</v>
      </c>
      <c r="R108" s="147">
        <f>Q108+O108</f>
        <v>264480</v>
      </c>
      <c r="S108" s="147">
        <f>P108+R108</f>
        <v>275160</v>
      </c>
      <c r="T108" s="146" t="s">
        <v>405</v>
      </c>
    </row>
    <row r="109" spans="1:20" x14ac:dyDescent="0.2">
      <c r="A109" s="140"/>
      <c r="B109" s="185" t="s">
        <v>340</v>
      </c>
      <c r="C109" s="186"/>
      <c r="D109" s="140"/>
      <c r="E109" s="164"/>
      <c r="F109" s="112"/>
      <c r="G109" s="141"/>
      <c r="H109" s="164"/>
      <c r="I109" s="164"/>
      <c r="J109" s="164"/>
      <c r="K109" s="141"/>
      <c r="L109" s="141"/>
      <c r="M109" s="141"/>
      <c r="N109" s="112"/>
      <c r="O109" s="112"/>
      <c r="P109" s="112"/>
      <c r="Q109" s="165"/>
      <c r="R109" s="165"/>
      <c r="S109" s="165"/>
      <c r="T109" s="164"/>
    </row>
    <row r="110" spans="1:20" x14ac:dyDescent="0.2">
      <c r="A110" s="145">
        <v>53</v>
      </c>
      <c r="B110" s="188" t="s">
        <v>150</v>
      </c>
      <c r="C110" s="194" t="s">
        <v>80</v>
      </c>
      <c r="D110" s="145">
        <v>2</v>
      </c>
      <c r="E110" s="145">
        <v>2</v>
      </c>
      <c r="F110" s="107">
        <v>0</v>
      </c>
      <c r="G110" s="161">
        <v>0</v>
      </c>
      <c r="H110" s="146">
        <v>2</v>
      </c>
      <c r="I110" s="146">
        <v>2</v>
      </c>
      <c r="J110" s="146">
        <v>2</v>
      </c>
      <c r="K110" s="161">
        <v>0</v>
      </c>
      <c r="L110" s="161">
        <v>0</v>
      </c>
      <c r="M110" s="161">
        <v>0</v>
      </c>
      <c r="N110" s="161">
        <v>0</v>
      </c>
      <c r="O110" s="161">
        <v>0</v>
      </c>
      <c r="P110" s="161">
        <v>0</v>
      </c>
      <c r="Q110" s="161">
        <v>0</v>
      </c>
      <c r="R110" s="161">
        <v>0</v>
      </c>
      <c r="S110" s="161">
        <v>0</v>
      </c>
      <c r="T110" s="145" t="s">
        <v>243</v>
      </c>
    </row>
    <row r="111" spans="1:20" x14ac:dyDescent="0.2">
      <c r="A111" s="140"/>
      <c r="B111" s="242" t="s">
        <v>178</v>
      </c>
      <c r="C111" s="186"/>
      <c r="D111" s="140"/>
      <c r="E111" s="164"/>
      <c r="F111" s="112"/>
      <c r="G111" s="141"/>
      <c r="H111" s="164"/>
      <c r="I111" s="164"/>
      <c r="J111" s="164"/>
      <c r="K111" s="141"/>
      <c r="L111" s="141"/>
      <c r="M111" s="141"/>
      <c r="N111" s="112"/>
      <c r="O111" s="112"/>
      <c r="P111" s="112"/>
      <c r="Q111" s="165"/>
      <c r="R111" s="165"/>
      <c r="S111" s="165"/>
      <c r="T111" s="164"/>
    </row>
    <row r="112" spans="1:20" x14ac:dyDescent="0.2">
      <c r="A112" s="145">
        <v>54</v>
      </c>
      <c r="B112" s="188" t="s">
        <v>454</v>
      </c>
      <c r="C112" s="114"/>
      <c r="D112" s="227">
        <v>1</v>
      </c>
      <c r="E112" s="227">
        <v>1</v>
      </c>
      <c r="F112" s="211">
        <f>'ข้อ 11 บัญชีแสดงฯ(64-66)'!J172</f>
        <v>46440</v>
      </c>
      <c r="G112" s="161">
        <v>0</v>
      </c>
      <c r="H112" s="228">
        <v>1</v>
      </c>
      <c r="I112" s="228">
        <v>1</v>
      </c>
      <c r="J112" s="228">
        <v>1</v>
      </c>
      <c r="K112" s="229">
        <v>0</v>
      </c>
      <c r="L112" s="229">
        <v>0</v>
      </c>
      <c r="M112" s="229">
        <v>0</v>
      </c>
      <c r="N112" s="161">
        <f>คชจ.พนง.จ้าง!E20</f>
        <v>6480</v>
      </c>
      <c r="O112" s="161">
        <f>คชจ.พนง.จ้าง!I20</f>
        <v>6720</v>
      </c>
      <c r="P112" s="161">
        <f>คชจ.พนง.จ้าง!M20</f>
        <v>6960</v>
      </c>
      <c r="Q112" s="147">
        <f>F112+N112</f>
        <v>52920</v>
      </c>
      <c r="R112" s="147">
        <f>Q112+O112</f>
        <v>59640</v>
      </c>
      <c r="S112" s="147">
        <f>P112+R112</f>
        <v>66600</v>
      </c>
      <c r="T112" s="146" t="s">
        <v>361</v>
      </c>
    </row>
    <row r="113" spans="1:20" x14ac:dyDescent="0.2">
      <c r="A113" s="140"/>
      <c r="B113" s="185" t="s">
        <v>21</v>
      </c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</row>
    <row r="114" spans="1:20" x14ac:dyDescent="0.2">
      <c r="A114" s="145">
        <v>55</v>
      </c>
      <c r="B114" s="188" t="s">
        <v>362</v>
      </c>
      <c r="C114" s="114"/>
      <c r="D114" s="227">
        <v>1</v>
      </c>
      <c r="E114" s="227">
        <v>1</v>
      </c>
      <c r="F114" s="211">
        <f>'ข้อ 11 บัญชีแสดงฯ(64-66)'!J175</f>
        <v>108000</v>
      </c>
      <c r="G114" s="161">
        <v>0</v>
      </c>
      <c r="H114" s="228">
        <v>1</v>
      </c>
      <c r="I114" s="228">
        <v>1</v>
      </c>
      <c r="J114" s="228">
        <v>1</v>
      </c>
      <c r="K114" s="229">
        <v>0</v>
      </c>
      <c r="L114" s="229">
        <v>0</v>
      </c>
      <c r="M114" s="229">
        <v>0</v>
      </c>
      <c r="N114" s="161">
        <v>0</v>
      </c>
      <c r="O114" s="161">
        <v>0</v>
      </c>
      <c r="P114" s="161">
        <v>0</v>
      </c>
      <c r="Q114" s="147">
        <f>F114+N114</f>
        <v>108000</v>
      </c>
      <c r="R114" s="147">
        <f>Q114+O114</f>
        <v>108000</v>
      </c>
      <c r="S114" s="147">
        <f>P114+R114</f>
        <v>108000</v>
      </c>
      <c r="T114" s="404" t="s">
        <v>406</v>
      </c>
    </row>
    <row r="115" spans="1:20" x14ac:dyDescent="0.2">
      <c r="A115" s="139"/>
      <c r="B115" s="185" t="s">
        <v>341</v>
      </c>
      <c r="C115" s="189"/>
      <c r="D115" s="224"/>
      <c r="E115" s="224"/>
      <c r="F115" s="225"/>
      <c r="G115" s="141"/>
      <c r="H115" s="226"/>
      <c r="I115" s="226"/>
      <c r="J115" s="226"/>
      <c r="K115" s="201"/>
      <c r="L115" s="201"/>
      <c r="M115" s="201"/>
      <c r="N115" s="141"/>
      <c r="O115" s="141"/>
      <c r="P115" s="141"/>
      <c r="Q115" s="165"/>
      <c r="R115" s="165"/>
      <c r="S115" s="165"/>
      <c r="T115" s="130"/>
    </row>
    <row r="116" spans="1:20" x14ac:dyDescent="0.2">
      <c r="A116" s="145">
        <v>56</v>
      </c>
      <c r="B116" s="188" t="s">
        <v>150</v>
      </c>
      <c r="C116" s="194" t="s">
        <v>80</v>
      </c>
      <c r="D116" s="145">
        <v>2</v>
      </c>
      <c r="E116" s="145">
        <v>2</v>
      </c>
      <c r="F116" s="107">
        <v>0</v>
      </c>
      <c r="G116" s="161">
        <v>0</v>
      </c>
      <c r="H116" s="146">
        <v>2</v>
      </c>
      <c r="I116" s="146">
        <v>2</v>
      </c>
      <c r="J116" s="146">
        <v>2</v>
      </c>
      <c r="K116" s="161">
        <v>0</v>
      </c>
      <c r="L116" s="161">
        <v>0</v>
      </c>
      <c r="M116" s="161">
        <v>0</v>
      </c>
      <c r="N116" s="161">
        <v>0</v>
      </c>
      <c r="O116" s="161">
        <v>0</v>
      </c>
      <c r="P116" s="161">
        <v>0</v>
      </c>
      <c r="Q116" s="161">
        <v>0</v>
      </c>
      <c r="R116" s="161">
        <v>0</v>
      </c>
      <c r="S116" s="161">
        <v>0</v>
      </c>
      <c r="T116" s="145" t="s">
        <v>243</v>
      </c>
    </row>
    <row r="117" spans="1:20" x14ac:dyDescent="0.2">
      <c r="A117" s="140"/>
      <c r="B117" s="242" t="s">
        <v>176</v>
      </c>
      <c r="C117" s="164"/>
      <c r="D117" s="164"/>
      <c r="E117" s="164"/>
      <c r="F117" s="112"/>
      <c r="G117" s="112"/>
      <c r="H117" s="164"/>
      <c r="I117" s="164"/>
      <c r="J117" s="164"/>
      <c r="K117" s="164"/>
      <c r="L117" s="164"/>
      <c r="M117" s="164"/>
      <c r="N117" s="112"/>
      <c r="O117" s="112"/>
      <c r="P117" s="112"/>
      <c r="Q117" s="165"/>
      <c r="R117" s="165"/>
      <c r="S117" s="165"/>
      <c r="T117" s="140"/>
    </row>
    <row r="118" spans="1:20" x14ac:dyDescent="0.2">
      <c r="A118" s="145">
        <v>57</v>
      </c>
      <c r="B118" s="188" t="s">
        <v>453</v>
      </c>
      <c r="C118" s="114"/>
      <c r="D118" s="227">
        <v>1</v>
      </c>
      <c r="E118" s="227">
        <v>1</v>
      </c>
      <c r="F118" s="211">
        <f>'ข้อ 11 บัญชีแสดงฯ(64-66)'!J183</f>
        <v>102480</v>
      </c>
      <c r="G118" s="161">
        <v>0</v>
      </c>
      <c r="H118" s="228">
        <v>1</v>
      </c>
      <c r="I118" s="228">
        <v>1</v>
      </c>
      <c r="J118" s="228">
        <v>1</v>
      </c>
      <c r="K118" s="229">
        <v>0</v>
      </c>
      <c r="L118" s="229">
        <v>0</v>
      </c>
      <c r="M118" s="229">
        <v>0</v>
      </c>
      <c r="N118" s="161">
        <f>คชจ.พนง.จ้าง!E18</f>
        <v>11400</v>
      </c>
      <c r="O118" s="161">
        <f>คชจ.พนง.จ้าง!I18</f>
        <v>11760</v>
      </c>
      <c r="P118" s="161">
        <f>คชจ.พนง.จ้าง!M18</f>
        <v>12240</v>
      </c>
      <c r="Q118" s="147">
        <f>F118+N118</f>
        <v>113880</v>
      </c>
      <c r="R118" s="147">
        <f>Q118+O118</f>
        <v>125640</v>
      </c>
      <c r="S118" s="147">
        <f>P118+R118</f>
        <v>137880</v>
      </c>
      <c r="T118" s="146" t="s">
        <v>361</v>
      </c>
    </row>
    <row r="119" spans="1:20" x14ac:dyDescent="0.2">
      <c r="A119" s="140"/>
      <c r="B119" s="185" t="s">
        <v>21</v>
      </c>
      <c r="C119" s="189"/>
      <c r="D119" s="224"/>
      <c r="E119" s="224"/>
      <c r="F119" s="225"/>
      <c r="G119" s="141"/>
      <c r="H119" s="226"/>
      <c r="I119" s="226"/>
      <c r="J119" s="226"/>
      <c r="K119" s="201"/>
      <c r="L119" s="201"/>
      <c r="M119" s="201"/>
      <c r="N119" s="141"/>
      <c r="O119" s="141"/>
      <c r="P119" s="141"/>
      <c r="Q119" s="165"/>
      <c r="R119" s="165"/>
      <c r="S119" s="165"/>
      <c r="T119" s="164"/>
    </row>
    <row r="120" spans="1:20" x14ac:dyDescent="0.2">
      <c r="A120" s="145">
        <v>58</v>
      </c>
      <c r="B120" s="188" t="s">
        <v>362</v>
      </c>
      <c r="C120" s="114"/>
      <c r="D120" s="227">
        <v>1</v>
      </c>
      <c r="E120" s="227">
        <v>1</v>
      </c>
      <c r="F120" s="211">
        <f>'ข้อ 11 บัญชีแสดงฯ(64-66)'!J211</f>
        <v>108000</v>
      </c>
      <c r="G120" s="161">
        <v>0</v>
      </c>
      <c r="H120" s="228">
        <v>1</v>
      </c>
      <c r="I120" s="228">
        <v>1</v>
      </c>
      <c r="J120" s="228">
        <v>1</v>
      </c>
      <c r="K120" s="229">
        <v>0</v>
      </c>
      <c r="L120" s="229">
        <v>0</v>
      </c>
      <c r="M120" s="229">
        <v>0</v>
      </c>
      <c r="N120" s="161">
        <v>0</v>
      </c>
      <c r="O120" s="161">
        <v>0</v>
      </c>
      <c r="P120" s="161">
        <v>0</v>
      </c>
      <c r="Q120" s="147">
        <f>F120+N120</f>
        <v>108000</v>
      </c>
      <c r="R120" s="147">
        <f>Q120+O120</f>
        <v>108000</v>
      </c>
      <c r="S120" s="147">
        <f>P120+R120</f>
        <v>108000</v>
      </c>
      <c r="T120" s="404" t="s">
        <v>406</v>
      </c>
    </row>
    <row r="121" spans="1:20" x14ac:dyDescent="0.2">
      <c r="A121" s="140"/>
      <c r="B121" s="185" t="s">
        <v>343</v>
      </c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20"/>
    </row>
    <row r="122" spans="1:20" x14ac:dyDescent="0.2">
      <c r="A122" s="145">
        <v>59</v>
      </c>
      <c r="B122" s="188" t="s">
        <v>150</v>
      </c>
      <c r="C122" s="194" t="s">
        <v>80</v>
      </c>
      <c r="D122" s="145">
        <v>2</v>
      </c>
      <c r="E122" s="145">
        <v>2</v>
      </c>
      <c r="F122" s="107">
        <v>0</v>
      </c>
      <c r="G122" s="161">
        <v>0</v>
      </c>
      <c r="H122" s="146">
        <v>2</v>
      </c>
      <c r="I122" s="146">
        <v>2</v>
      </c>
      <c r="J122" s="146">
        <v>2</v>
      </c>
      <c r="K122" s="161">
        <v>0</v>
      </c>
      <c r="L122" s="161">
        <v>0</v>
      </c>
      <c r="M122" s="161">
        <v>0</v>
      </c>
      <c r="N122" s="161">
        <v>0</v>
      </c>
      <c r="O122" s="161">
        <v>0</v>
      </c>
      <c r="P122" s="161">
        <v>0</v>
      </c>
      <c r="Q122" s="161">
        <v>0</v>
      </c>
      <c r="R122" s="161">
        <v>0</v>
      </c>
      <c r="S122" s="161">
        <v>0</v>
      </c>
      <c r="T122" s="145" t="s">
        <v>243</v>
      </c>
    </row>
    <row r="123" spans="1:20" x14ac:dyDescent="0.2">
      <c r="A123" s="339"/>
      <c r="B123" s="386"/>
      <c r="C123" s="387"/>
      <c r="D123" s="339"/>
      <c r="E123" s="339"/>
      <c r="F123" s="388"/>
      <c r="G123" s="389"/>
      <c r="H123" s="390"/>
      <c r="I123" s="390"/>
      <c r="J123" s="390"/>
      <c r="K123" s="389"/>
      <c r="L123" s="389"/>
      <c r="M123" s="389"/>
      <c r="N123" s="389"/>
      <c r="O123" s="389"/>
      <c r="P123" s="389"/>
      <c r="Q123" s="389"/>
      <c r="R123" s="389"/>
      <c r="S123" s="389"/>
      <c r="T123" s="339"/>
    </row>
    <row r="124" spans="1:20" x14ac:dyDescent="0.2">
      <c r="A124" s="153"/>
      <c r="B124" s="154"/>
      <c r="C124" s="222"/>
      <c r="D124" s="153"/>
      <c r="E124" s="153"/>
      <c r="F124" s="156"/>
      <c r="G124" s="340"/>
      <c r="H124" s="223"/>
      <c r="I124" s="223"/>
      <c r="J124" s="223"/>
      <c r="K124" s="340"/>
      <c r="L124" s="340"/>
      <c r="M124" s="340"/>
      <c r="N124" s="340"/>
      <c r="O124" s="340"/>
      <c r="P124" s="340"/>
      <c r="Q124" s="340"/>
      <c r="R124" s="340"/>
      <c r="S124" s="340"/>
      <c r="T124" s="153"/>
    </row>
    <row r="125" spans="1:20" x14ac:dyDescent="0.2">
      <c r="A125" s="153"/>
      <c r="B125" s="154"/>
      <c r="C125" s="222"/>
      <c r="D125" s="153"/>
      <c r="E125" s="153"/>
      <c r="F125" s="156"/>
      <c r="G125" s="340"/>
      <c r="H125" s="223"/>
      <c r="I125" s="223"/>
      <c r="J125" s="223"/>
      <c r="K125" s="340"/>
      <c r="L125" s="340"/>
      <c r="M125" s="340"/>
      <c r="N125" s="340"/>
      <c r="O125" s="340"/>
      <c r="P125" s="340"/>
      <c r="Q125" s="340"/>
      <c r="R125" s="340"/>
      <c r="S125" s="340"/>
      <c r="T125" s="153"/>
    </row>
    <row r="126" spans="1:20" x14ac:dyDescent="0.2">
      <c r="A126" s="153"/>
      <c r="B126" s="154"/>
      <c r="C126" s="222"/>
      <c r="D126" s="153"/>
      <c r="E126" s="153"/>
      <c r="F126" s="156"/>
      <c r="G126" s="340"/>
      <c r="H126" s="223"/>
      <c r="I126" s="223"/>
      <c r="J126" s="223"/>
      <c r="K126" s="340"/>
      <c r="L126" s="340"/>
      <c r="M126" s="340"/>
      <c r="N126" s="340"/>
      <c r="O126" s="340"/>
      <c r="P126" s="340"/>
      <c r="Q126" s="340"/>
      <c r="R126" s="340"/>
      <c r="S126" s="340"/>
      <c r="T126" s="153"/>
    </row>
    <row r="127" spans="1:20" x14ac:dyDescent="0.2">
      <c r="A127" s="153"/>
      <c r="B127" s="154"/>
      <c r="C127" s="222"/>
      <c r="D127" s="153"/>
      <c r="E127" s="153"/>
      <c r="F127" s="156"/>
      <c r="G127" s="340"/>
      <c r="H127" s="223"/>
      <c r="I127" s="223"/>
      <c r="J127" s="223"/>
      <c r="K127" s="340"/>
      <c r="L127" s="340"/>
      <c r="M127" s="340"/>
      <c r="N127" s="340"/>
      <c r="O127" s="340"/>
      <c r="P127" s="340"/>
      <c r="Q127" s="340"/>
      <c r="R127" s="340"/>
      <c r="S127" s="340"/>
      <c r="T127" s="153"/>
    </row>
    <row r="128" spans="1:20" x14ac:dyDescent="0.2">
      <c r="A128" s="153"/>
      <c r="B128" s="154"/>
      <c r="C128" s="222"/>
      <c r="D128" s="153"/>
      <c r="E128" s="153"/>
      <c r="F128" s="156"/>
      <c r="G128" s="340"/>
      <c r="H128" s="223"/>
      <c r="I128" s="223"/>
      <c r="J128" s="223"/>
      <c r="K128" s="340"/>
      <c r="L128" s="340"/>
      <c r="M128" s="340"/>
      <c r="N128" s="340"/>
      <c r="O128" s="340"/>
      <c r="P128" s="340"/>
      <c r="Q128" s="340"/>
      <c r="R128" s="340"/>
      <c r="S128" s="340"/>
      <c r="T128" s="153"/>
    </row>
    <row r="129" spans="1:20" x14ac:dyDescent="0.2">
      <c r="A129" s="153"/>
      <c r="B129" s="154"/>
      <c r="C129" s="222"/>
      <c r="D129" s="153"/>
      <c r="E129" s="153"/>
      <c r="F129" s="156"/>
      <c r="G129" s="340"/>
      <c r="H129" s="223"/>
      <c r="I129" s="223"/>
      <c r="J129" s="223"/>
      <c r="K129" s="340"/>
      <c r="L129" s="340"/>
      <c r="M129" s="340"/>
      <c r="N129" s="340"/>
      <c r="O129" s="340"/>
      <c r="P129" s="340"/>
      <c r="Q129" s="340"/>
      <c r="R129" s="340"/>
      <c r="S129" s="340"/>
      <c r="T129" s="153"/>
    </row>
    <row r="130" spans="1:20" x14ac:dyDescent="0.2">
      <c r="A130" s="153"/>
      <c r="B130" s="154"/>
      <c r="C130" s="222"/>
      <c r="D130" s="153"/>
      <c r="E130" s="153"/>
      <c r="F130" s="156"/>
      <c r="G130" s="340"/>
      <c r="H130" s="223"/>
      <c r="I130" s="223"/>
      <c r="J130" s="223"/>
      <c r="K130" s="340"/>
      <c r="L130" s="340"/>
      <c r="M130" s="340"/>
      <c r="N130" s="340"/>
      <c r="O130" s="340"/>
      <c r="P130" s="340"/>
      <c r="Q130" s="340"/>
      <c r="R130" s="340"/>
      <c r="S130" s="340"/>
      <c r="T130" s="153"/>
    </row>
    <row r="131" spans="1:20" x14ac:dyDescent="0.2">
      <c r="A131" s="153"/>
      <c r="B131" s="154"/>
      <c r="C131" s="222"/>
      <c r="D131" s="153"/>
      <c r="E131" s="153"/>
      <c r="F131" s="156"/>
      <c r="G131" s="340"/>
      <c r="H131" s="223"/>
      <c r="I131" s="223"/>
      <c r="J131" s="223"/>
      <c r="K131" s="340"/>
      <c r="L131" s="340"/>
      <c r="M131" s="340"/>
      <c r="N131" s="340"/>
      <c r="O131" s="340"/>
      <c r="P131" s="340"/>
      <c r="Q131" s="340"/>
      <c r="R131" s="340"/>
      <c r="S131" s="340"/>
      <c r="T131" s="153"/>
    </row>
    <row r="132" spans="1:20" x14ac:dyDescent="0.2">
      <c r="A132" s="153"/>
      <c r="B132" s="154"/>
      <c r="C132" s="222"/>
      <c r="D132" s="153"/>
      <c r="E132" s="153"/>
      <c r="F132" s="156"/>
      <c r="G132" s="340"/>
      <c r="H132" s="223"/>
      <c r="I132" s="223"/>
      <c r="J132" s="223"/>
      <c r="K132" s="340"/>
      <c r="L132" s="340"/>
      <c r="M132" s="340"/>
      <c r="N132" s="340"/>
      <c r="O132" s="340"/>
      <c r="P132" s="340"/>
      <c r="Q132" s="340"/>
      <c r="R132" s="340"/>
      <c r="S132" s="340"/>
      <c r="T132" s="153"/>
    </row>
    <row r="133" spans="1:20" x14ac:dyDescent="0.2">
      <c r="A133" s="153"/>
      <c r="B133" s="154"/>
      <c r="C133" s="222"/>
      <c r="D133" s="153"/>
      <c r="E133" s="153"/>
      <c r="F133" s="156"/>
      <c r="G133" s="340"/>
      <c r="H133" s="223"/>
      <c r="I133" s="223"/>
      <c r="J133" s="223"/>
      <c r="K133" s="340"/>
      <c r="L133" s="340"/>
      <c r="M133" s="340"/>
      <c r="N133" s="340"/>
      <c r="O133" s="340"/>
      <c r="P133" s="340"/>
      <c r="Q133" s="340"/>
      <c r="R133" s="340"/>
      <c r="S133" s="340"/>
      <c r="T133" s="153"/>
    </row>
    <row r="134" spans="1:20" x14ac:dyDescent="0.2">
      <c r="A134" s="153"/>
      <c r="B134" s="154"/>
      <c r="C134" s="222"/>
      <c r="D134" s="153"/>
      <c r="E134" s="153"/>
      <c r="F134" s="156"/>
      <c r="G134" s="340"/>
      <c r="H134" s="223"/>
      <c r="I134" s="223"/>
      <c r="J134" s="223"/>
      <c r="K134" s="340"/>
      <c r="L134" s="340"/>
      <c r="M134" s="340"/>
      <c r="N134" s="340"/>
      <c r="O134" s="340"/>
      <c r="P134" s="340"/>
      <c r="Q134" s="340"/>
      <c r="R134" s="340"/>
      <c r="S134" s="340"/>
      <c r="T134" s="153"/>
    </row>
    <row r="135" spans="1:20" x14ac:dyDescent="0.2">
      <c r="A135" s="504" t="s">
        <v>1</v>
      </c>
      <c r="B135" s="504" t="s">
        <v>2</v>
      </c>
      <c r="C135" s="334" t="s">
        <v>40</v>
      </c>
      <c r="D135" s="338" t="s">
        <v>140</v>
      </c>
      <c r="E135" s="512" t="s">
        <v>141</v>
      </c>
      <c r="F135" s="513"/>
      <c r="G135" s="514"/>
      <c r="H135" s="512" t="s">
        <v>4</v>
      </c>
      <c r="I135" s="513"/>
      <c r="J135" s="514"/>
      <c r="K135" s="512" t="s">
        <v>5</v>
      </c>
      <c r="L135" s="513"/>
      <c r="M135" s="514"/>
      <c r="N135" s="498" t="s">
        <v>254</v>
      </c>
      <c r="O135" s="499"/>
      <c r="P135" s="500"/>
      <c r="Q135" s="498" t="s">
        <v>252</v>
      </c>
      <c r="R135" s="499"/>
      <c r="S135" s="500"/>
      <c r="T135" s="504" t="s">
        <v>42</v>
      </c>
    </row>
    <row r="136" spans="1:20" x14ac:dyDescent="0.2">
      <c r="A136" s="510"/>
      <c r="B136" s="510"/>
      <c r="C136" s="335" t="s">
        <v>39</v>
      </c>
      <c r="D136" s="118" t="s">
        <v>142</v>
      </c>
      <c r="E136" s="119" t="s">
        <v>140</v>
      </c>
      <c r="F136" s="334" t="s">
        <v>36</v>
      </c>
      <c r="G136" s="334" t="s">
        <v>246</v>
      </c>
      <c r="H136" s="507" t="s">
        <v>8</v>
      </c>
      <c r="I136" s="508"/>
      <c r="J136" s="509"/>
      <c r="K136" s="507" t="s">
        <v>9</v>
      </c>
      <c r="L136" s="508"/>
      <c r="M136" s="509"/>
      <c r="N136" s="501"/>
      <c r="O136" s="502"/>
      <c r="P136" s="503"/>
      <c r="Q136" s="501"/>
      <c r="R136" s="502"/>
      <c r="S136" s="503"/>
      <c r="T136" s="505"/>
    </row>
    <row r="137" spans="1:20" x14ac:dyDescent="0.2">
      <c r="A137" s="511"/>
      <c r="B137" s="511"/>
      <c r="C137" s="337"/>
      <c r="D137" s="321"/>
      <c r="E137" s="121" t="s">
        <v>143</v>
      </c>
      <c r="F137" s="307" t="s">
        <v>248</v>
      </c>
      <c r="G137" s="336" t="s">
        <v>247</v>
      </c>
      <c r="H137" s="172" t="s">
        <v>286</v>
      </c>
      <c r="I137" s="172" t="s">
        <v>250</v>
      </c>
      <c r="J137" s="172" t="s">
        <v>251</v>
      </c>
      <c r="K137" s="172">
        <v>2654</v>
      </c>
      <c r="L137" s="160">
        <v>2565</v>
      </c>
      <c r="M137" s="160">
        <v>2566</v>
      </c>
      <c r="N137" s="322" t="s">
        <v>249</v>
      </c>
      <c r="O137" s="322" t="s">
        <v>250</v>
      </c>
      <c r="P137" s="322" t="s">
        <v>251</v>
      </c>
      <c r="Q137" s="322" t="s">
        <v>249</v>
      </c>
      <c r="R137" s="322" t="s">
        <v>250</v>
      </c>
      <c r="S137" s="322" t="s">
        <v>251</v>
      </c>
      <c r="T137" s="506"/>
    </row>
    <row r="138" spans="1:20" x14ac:dyDescent="0.2">
      <c r="A138" s="334"/>
      <c r="B138" s="392" t="s">
        <v>21</v>
      </c>
      <c r="C138" s="391"/>
      <c r="D138" s="125"/>
      <c r="E138" s="123"/>
      <c r="F138" s="393"/>
      <c r="G138" s="334"/>
      <c r="H138" s="122"/>
      <c r="I138" s="122"/>
      <c r="J138" s="122"/>
      <c r="K138" s="122"/>
      <c r="L138" s="123"/>
      <c r="M138" s="123"/>
      <c r="N138" s="124"/>
      <c r="O138" s="124"/>
      <c r="P138" s="124"/>
      <c r="Q138" s="124"/>
      <c r="R138" s="124"/>
      <c r="S138" s="124"/>
      <c r="T138" s="334"/>
    </row>
    <row r="139" spans="1:20" x14ac:dyDescent="0.2">
      <c r="A139" s="399">
        <v>60</v>
      </c>
      <c r="B139" s="188" t="s">
        <v>362</v>
      </c>
      <c r="C139" s="114"/>
      <c r="D139" s="227">
        <v>1</v>
      </c>
      <c r="E139" s="227">
        <v>1</v>
      </c>
      <c r="F139" s="211">
        <f>'ข้อ 11 บัญชีแสดงฯ(64-66)'!J194</f>
        <v>108000</v>
      </c>
      <c r="G139" s="161">
        <v>0</v>
      </c>
      <c r="H139" s="228">
        <v>1</v>
      </c>
      <c r="I139" s="228">
        <v>1</v>
      </c>
      <c r="J139" s="228">
        <v>1</v>
      </c>
      <c r="K139" s="229">
        <v>0</v>
      </c>
      <c r="L139" s="229">
        <v>0</v>
      </c>
      <c r="M139" s="229">
        <v>0</v>
      </c>
      <c r="N139" s="161">
        <v>0</v>
      </c>
      <c r="O139" s="161">
        <v>0</v>
      </c>
      <c r="P139" s="161">
        <v>0</v>
      </c>
      <c r="Q139" s="147">
        <f>F139+N139</f>
        <v>108000</v>
      </c>
      <c r="R139" s="147">
        <f>Q139+O139</f>
        <v>108000</v>
      </c>
      <c r="S139" s="147">
        <f>P139+R139</f>
        <v>108000</v>
      </c>
      <c r="T139" s="404" t="s">
        <v>406</v>
      </c>
    </row>
    <row r="140" spans="1:20" x14ac:dyDescent="0.2">
      <c r="A140" s="397"/>
      <c r="B140" s="395" t="s">
        <v>344</v>
      </c>
      <c r="C140" s="394"/>
      <c r="D140" s="139"/>
      <c r="E140" s="140"/>
      <c r="F140" s="396"/>
      <c r="G140" s="397"/>
      <c r="H140" s="164"/>
      <c r="I140" s="164"/>
      <c r="J140" s="164"/>
      <c r="K140" s="164"/>
      <c r="L140" s="140"/>
      <c r="M140" s="140"/>
      <c r="N140" s="398"/>
      <c r="O140" s="398"/>
      <c r="P140" s="398"/>
      <c r="Q140" s="398"/>
      <c r="R140" s="398"/>
      <c r="S140" s="398"/>
      <c r="T140" s="335"/>
    </row>
    <row r="141" spans="1:20" x14ac:dyDescent="0.2">
      <c r="A141" s="145">
        <v>61</v>
      </c>
      <c r="B141" s="188" t="s">
        <v>150</v>
      </c>
      <c r="C141" s="194" t="s">
        <v>80</v>
      </c>
      <c r="D141" s="145">
        <v>1</v>
      </c>
      <c r="E141" s="145">
        <v>1</v>
      </c>
      <c r="F141" s="107">
        <v>0</v>
      </c>
      <c r="G141" s="161">
        <v>0</v>
      </c>
      <c r="H141" s="146">
        <v>1</v>
      </c>
      <c r="I141" s="146">
        <v>1</v>
      </c>
      <c r="J141" s="146">
        <v>1</v>
      </c>
      <c r="K141" s="161">
        <v>0</v>
      </c>
      <c r="L141" s="161">
        <v>0</v>
      </c>
      <c r="M141" s="161">
        <v>0</v>
      </c>
      <c r="N141" s="161">
        <v>0</v>
      </c>
      <c r="O141" s="161">
        <v>0</v>
      </c>
      <c r="P141" s="161">
        <v>0</v>
      </c>
      <c r="Q141" s="161">
        <v>0</v>
      </c>
      <c r="R141" s="161">
        <v>0</v>
      </c>
      <c r="S141" s="161">
        <v>0</v>
      </c>
      <c r="T141" s="145" t="s">
        <v>243</v>
      </c>
    </row>
    <row r="142" spans="1:20" x14ac:dyDescent="0.2">
      <c r="A142" s="140"/>
      <c r="B142" s="242" t="s">
        <v>178</v>
      </c>
      <c r="C142" s="189"/>
      <c r="D142" s="224"/>
      <c r="E142" s="224"/>
      <c r="F142" s="225"/>
      <c r="G142" s="225"/>
      <c r="H142" s="226"/>
      <c r="I142" s="226"/>
      <c r="J142" s="226"/>
      <c r="K142" s="201"/>
      <c r="L142" s="201"/>
      <c r="M142" s="201"/>
      <c r="N142" s="141"/>
      <c r="O142" s="141"/>
      <c r="P142" s="141"/>
      <c r="Q142" s="141"/>
      <c r="R142" s="141"/>
      <c r="S142" s="141"/>
      <c r="T142" s="140"/>
    </row>
    <row r="143" spans="1:20" x14ac:dyDescent="0.2">
      <c r="A143" s="145">
        <v>62</v>
      </c>
      <c r="B143" s="188" t="s">
        <v>452</v>
      </c>
      <c r="C143" s="114"/>
      <c r="D143" s="227">
        <v>1</v>
      </c>
      <c r="E143" s="227">
        <v>1</v>
      </c>
      <c r="F143" s="211">
        <f>'ข้อ 11 บัญชีแสดงฯ(64-66)'!J208</f>
        <v>63360</v>
      </c>
      <c r="G143" s="131">
        <v>0</v>
      </c>
      <c r="H143" s="228">
        <v>1</v>
      </c>
      <c r="I143" s="228">
        <v>1</v>
      </c>
      <c r="J143" s="228">
        <v>1</v>
      </c>
      <c r="K143" s="229">
        <v>0</v>
      </c>
      <c r="L143" s="229">
        <v>0</v>
      </c>
      <c r="M143" s="229">
        <v>0</v>
      </c>
      <c r="N143" s="161">
        <f>คชจ.พนง.จ้าง!E19</f>
        <v>7080</v>
      </c>
      <c r="O143" s="161">
        <f>คชจ.พนง.จ้าง!I19</f>
        <v>7440</v>
      </c>
      <c r="P143" s="161">
        <f>คชจ.พนง.จ้าง!M19</f>
        <v>7680</v>
      </c>
      <c r="Q143" s="147">
        <f>F143+N143</f>
        <v>70440</v>
      </c>
      <c r="R143" s="147">
        <f t="shared" ref="R143" si="36">Q143+O143</f>
        <v>77880</v>
      </c>
      <c r="S143" s="147">
        <f t="shared" ref="S143" si="37">P143+R143</f>
        <v>85560</v>
      </c>
      <c r="T143" s="146" t="s">
        <v>361</v>
      </c>
    </row>
    <row r="144" spans="1:20" x14ac:dyDescent="0.2">
      <c r="A144" s="140"/>
      <c r="B144" s="185" t="s">
        <v>21</v>
      </c>
      <c r="C144" s="189"/>
      <c r="D144" s="224"/>
      <c r="E144" s="224"/>
      <c r="F144" s="225"/>
      <c r="G144" s="225"/>
      <c r="H144" s="226"/>
      <c r="I144" s="226"/>
      <c r="J144" s="226"/>
      <c r="K144" s="201"/>
      <c r="L144" s="201"/>
      <c r="M144" s="201"/>
      <c r="N144" s="141"/>
      <c r="O144" s="141"/>
      <c r="P144" s="141"/>
      <c r="Q144" s="165"/>
      <c r="R144" s="165"/>
      <c r="S144" s="165"/>
      <c r="T144" s="164"/>
    </row>
    <row r="145" spans="1:25" ht="13.5" thickBot="1" x14ac:dyDescent="0.25">
      <c r="A145" s="434">
        <v>63</v>
      </c>
      <c r="B145" s="435" t="s">
        <v>362</v>
      </c>
      <c r="C145" s="436"/>
      <c r="D145" s="437">
        <v>1</v>
      </c>
      <c r="E145" s="437">
        <v>1</v>
      </c>
      <c r="F145" s="438">
        <f>'ข้อ 11 บัญชีแสดงฯ(64-66)'!J186</f>
        <v>108000</v>
      </c>
      <c r="G145" s="439">
        <v>0</v>
      </c>
      <c r="H145" s="440">
        <v>1</v>
      </c>
      <c r="I145" s="440">
        <v>1</v>
      </c>
      <c r="J145" s="440">
        <v>1</v>
      </c>
      <c r="K145" s="441">
        <v>0</v>
      </c>
      <c r="L145" s="441">
        <v>0</v>
      </c>
      <c r="M145" s="441">
        <v>0</v>
      </c>
      <c r="N145" s="439">
        <v>0</v>
      </c>
      <c r="O145" s="439">
        <v>0</v>
      </c>
      <c r="P145" s="439">
        <v>0</v>
      </c>
      <c r="Q145" s="442">
        <f t="shared" ref="Q145" si="38">F145+N145</f>
        <v>108000</v>
      </c>
      <c r="R145" s="442">
        <f t="shared" ref="R145" si="39">Q145+O145</f>
        <v>108000</v>
      </c>
      <c r="S145" s="442">
        <f t="shared" ref="S145" si="40">P145+R145</f>
        <v>108000</v>
      </c>
      <c r="T145" s="443" t="s">
        <v>406</v>
      </c>
    </row>
    <row r="146" spans="1:25" x14ac:dyDescent="0.2">
      <c r="A146" s="244"/>
      <c r="B146" s="245" t="s">
        <v>455</v>
      </c>
      <c r="C146" s="444"/>
      <c r="D146" s="445"/>
      <c r="E146" s="445"/>
      <c r="F146" s="446"/>
      <c r="G146" s="447"/>
      <c r="H146" s="448"/>
      <c r="I146" s="448"/>
      <c r="J146" s="448"/>
      <c r="K146" s="449"/>
      <c r="L146" s="449"/>
      <c r="M146" s="449"/>
      <c r="N146" s="447"/>
      <c r="O146" s="447"/>
      <c r="P146" s="447"/>
      <c r="Q146" s="248"/>
      <c r="R146" s="248"/>
      <c r="S146" s="248"/>
      <c r="T146" s="450"/>
    </row>
    <row r="147" spans="1:25" x14ac:dyDescent="0.2">
      <c r="A147" s="121">
        <v>64</v>
      </c>
      <c r="B147" s="321" t="s">
        <v>456</v>
      </c>
      <c r="C147" s="400" t="s">
        <v>392</v>
      </c>
      <c r="D147" s="401">
        <v>1</v>
      </c>
      <c r="E147" s="402" t="s">
        <v>135</v>
      </c>
      <c r="F147" s="131">
        <v>0</v>
      </c>
      <c r="G147" s="131">
        <v>0</v>
      </c>
      <c r="H147" s="146">
        <v>1</v>
      </c>
      <c r="I147" s="146">
        <v>1</v>
      </c>
      <c r="J147" s="146">
        <v>1</v>
      </c>
      <c r="K147" s="161" t="s">
        <v>212</v>
      </c>
      <c r="L147" s="161">
        <v>0</v>
      </c>
      <c r="M147" s="161">
        <v>0</v>
      </c>
      <c r="N147" s="129">
        <f>'ข้อ 11 บัญชีแสดงฯ(64-66)'!J215</f>
        <v>355320</v>
      </c>
      <c r="O147" s="129">
        <f>((49480-47990)+(10250-9740))/2*12</f>
        <v>12000</v>
      </c>
      <c r="P147" s="107">
        <f>O147</f>
        <v>12000</v>
      </c>
      <c r="Q147" s="147">
        <f>F147+N147</f>
        <v>355320</v>
      </c>
      <c r="R147" s="147">
        <f t="shared" ref="R147" si="41">Q147+O147</f>
        <v>367320</v>
      </c>
      <c r="S147" s="147">
        <f t="shared" ref="S147" si="42">P147+R147</f>
        <v>379320</v>
      </c>
      <c r="T147" s="403" t="s">
        <v>458</v>
      </c>
    </row>
    <row r="148" spans="1:25" x14ac:dyDescent="0.2">
      <c r="A148" s="169" t="s">
        <v>154</v>
      </c>
      <c r="B148" s="170" t="s">
        <v>31</v>
      </c>
      <c r="C148" s="160"/>
      <c r="D148" s="160">
        <f t="shared" ref="D148:J148" si="43">SUM(D16:D147)</f>
        <v>67</v>
      </c>
      <c r="E148" s="160">
        <f>SUM(E16:E147)</f>
        <v>60</v>
      </c>
      <c r="F148" s="171">
        <f t="shared" si="43"/>
        <v>12413520</v>
      </c>
      <c r="G148" s="171">
        <f t="shared" si="43"/>
        <v>378000</v>
      </c>
      <c r="H148" s="172">
        <f t="shared" si="43"/>
        <v>67</v>
      </c>
      <c r="I148" s="172">
        <f t="shared" si="43"/>
        <v>67</v>
      </c>
      <c r="J148" s="172">
        <f t="shared" si="43"/>
        <v>67</v>
      </c>
      <c r="K148" s="457">
        <v>2</v>
      </c>
      <c r="L148" s="202">
        <v>0</v>
      </c>
      <c r="M148" s="202">
        <v>0</v>
      </c>
      <c r="N148" s="171">
        <f t="shared" ref="N148:S148" si="44">SUM(N16:N147)</f>
        <v>779280</v>
      </c>
      <c r="O148" s="171">
        <f t="shared" si="44"/>
        <v>445440</v>
      </c>
      <c r="P148" s="171">
        <f t="shared" si="44"/>
        <v>452040</v>
      </c>
      <c r="Q148" s="173">
        <f t="shared" si="44"/>
        <v>13570800</v>
      </c>
      <c r="R148" s="173">
        <f t="shared" si="44"/>
        <v>14016240</v>
      </c>
      <c r="S148" s="173">
        <f t="shared" si="44"/>
        <v>14468280</v>
      </c>
      <c r="T148" s="160"/>
    </row>
    <row r="149" spans="1:25" x14ac:dyDescent="0.2">
      <c r="A149" s="169" t="s">
        <v>155</v>
      </c>
      <c r="B149" s="174" t="s">
        <v>302</v>
      </c>
      <c r="C149" s="172"/>
      <c r="D149" s="172"/>
      <c r="E149" s="172"/>
      <c r="F149" s="172" t="s">
        <v>135</v>
      </c>
      <c r="G149" s="172"/>
      <c r="H149" s="172" t="s">
        <v>135</v>
      </c>
      <c r="I149" s="172" t="s">
        <v>135</v>
      </c>
      <c r="J149" s="172" t="s">
        <v>135</v>
      </c>
      <c r="K149" s="172"/>
      <c r="L149" s="172"/>
      <c r="M149" s="172"/>
      <c r="N149" s="172" t="s">
        <v>135</v>
      </c>
      <c r="O149" s="172" t="s">
        <v>135</v>
      </c>
      <c r="P149" s="172" t="s">
        <v>135</v>
      </c>
      <c r="Q149" s="171">
        <f>Q148*15%</f>
        <v>2035620</v>
      </c>
      <c r="R149" s="171">
        <f>R148*15%</f>
        <v>2102436</v>
      </c>
      <c r="S149" s="171">
        <f>S148*15%</f>
        <v>2170242</v>
      </c>
      <c r="T149" s="160"/>
    </row>
    <row r="150" spans="1:25" x14ac:dyDescent="0.2">
      <c r="A150" s="169" t="s">
        <v>157</v>
      </c>
      <c r="B150" s="174" t="s">
        <v>156</v>
      </c>
      <c r="C150" s="172"/>
      <c r="D150" s="172"/>
      <c r="E150" s="172"/>
      <c r="F150" s="172" t="s">
        <v>135</v>
      </c>
      <c r="G150" s="172"/>
      <c r="H150" s="172" t="s">
        <v>135</v>
      </c>
      <c r="I150" s="172" t="s">
        <v>135</v>
      </c>
      <c r="J150" s="172" t="s">
        <v>135</v>
      </c>
      <c r="K150" s="172"/>
      <c r="L150" s="172"/>
      <c r="M150" s="172"/>
      <c r="N150" s="172" t="s">
        <v>135</v>
      </c>
      <c r="O150" s="172" t="s">
        <v>135</v>
      </c>
      <c r="P150" s="172" t="s">
        <v>135</v>
      </c>
      <c r="Q150" s="173">
        <f>SUM(Q148:Q149)</f>
        <v>15606420</v>
      </c>
      <c r="R150" s="173">
        <f>SUM(R148:R149)</f>
        <v>16118676</v>
      </c>
      <c r="S150" s="173">
        <f>SUM(S148:S149)</f>
        <v>16638522</v>
      </c>
      <c r="T150" s="160"/>
    </row>
    <row r="151" spans="1:25" x14ac:dyDescent="0.2">
      <c r="A151" s="169" t="s">
        <v>253</v>
      </c>
      <c r="B151" s="174" t="s">
        <v>158</v>
      </c>
      <c r="C151" s="172"/>
      <c r="D151" s="172"/>
      <c r="E151" s="172"/>
      <c r="F151" s="172" t="s">
        <v>135</v>
      </c>
      <c r="G151" s="172"/>
      <c r="H151" s="172" t="s">
        <v>135</v>
      </c>
      <c r="I151" s="172" t="s">
        <v>135</v>
      </c>
      <c r="J151" s="172" t="s">
        <v>135</v>
      </c>
      <c r="K151" s="172"/>
      <c r="L151" s="172"/>
      <c r="M151" s="172"/>
      <c r="N151" s="172" t="s">
        <v>135</v>
      </c>
      <c r="O151" s="172" t="s">
        <v>135</v>
      </c>
      <c r="P151" s="172" t="s">
        <v>135</v>
      </c>
      <c r="Q151" s="175">
        <f>(Q150/61950000)*100</f>
        <v>25.191961259079903</v>
      </c>
      <c r="R151" s="175">
        <f>(R150/65047500)*100</f>
        <v>24.779854721549636</v>
      </c>
      <c r="S151" s="175">
        <f>(S150/68299875)*100</f>
        <v>24.360984555242599</v>
      </c>
      <c r="T151" s="160"/>
    </row>
    <row r="152" spans="1:25" ht="6" customHeight="1" x14ac:dyDescent="0.2">
      <c r="T152" s="77"/>
    </row>
    <row r="153" spans="1:25" ht="14.25" x14ac:dyDescent="0.2">
      <c r="A153" s="325" t="s">
        <v>42</v>
      </c>
      <c r="B153" s="326"/>
      <c r="C153" s="326"/>
      <c r="D153" s="326"/>
      <c r="E153" s="326"/>
      <c r="F153" s="326"/>
      <c r="G153" s="326"/>
      <c r="H153" s="326"/>
      <c r="I153" s="326"/>
      <c r="J153" s="326"/>
      <c r="K153" s="326"/>
      <c r="L153" s="326"/>
      <c r="M153" s="326"/>
      <c r="N153" s="326"/>
      <c r="O153" s="470"/>
      <c r="P153" s="470"/>
      <c r="Q153"/>
      <c r="T153" s="77"/>
      <c r="V153" s="152"/>
    </row>
    <row r="154" spans="1:25" ht="12.75" customHeight="1" x14ac:dyDescent="0.25">
      <c r="A154" s="327" t="s">
        <v>287</v>
      </c>
      <c r="B154" s="328" t="s">
        <v>289</v>
      </c>
      <c r="C154" s="328"/>
      <c r="D154" s="328"/>
      <c r="E154" s="328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3"/>
      <c r="T154" s="77"/>
      <c r="V154" s="152"/>
      <c r="W154" s="152"/>
      <c r="X154" s="152"/>
      <c r="Y154" s="152"/>
    </row>
    <row r="155" spans="1:25" ht="12.75" customHeight="1" x14ac:dyDescent="0.25">
      <c r="A155" s="328"/>
      <c r="B155" s="328" t="s">
        <v>290</v>
      </c>
      <c r="C155" s="328"/>
      <c r="D155" s="328"/>
      <c r="E155" s="328"/>
      <c r="F155" s="328"/>
      <c r="G155" s="328"/>
      <c r="H155" s="328"/>
      <c r="I155" s="328"/>
      <c r="J155" s="328"/>
      <c r="K155" s="328"/>
      <c r="L155" s="328"/>
      <c r="M155" s="328"/>
      <c r="N155" s="328"/>
      <c r="O155" s="328"/>
      <c r="P155" s="328"/>
      <c r="Q155" s="323"/>
      <c r="T155" s="77"/>
      <c r="V155" s="152"/>
    </row>
    <row r="156" spans="1:25" ht="12.75" customHeight="1" x14ac:dyDescent="0.25">
      <c r="A156" s="328"/>
      <c r="B156" s="328" t="s">
        <v>291</v>
      </c>
      <c r="C156" s="328"/>
      <c r="D156" s="328"/>
      <c r="E156" s="328"/>
      <c r="F156" s="328"/>
      <c r="G156" s="328"/>
      <c r="H156" s="328"/>
      <c r="I156" s="328"/>
      <c r="J156" s="328"/>
      <c r="K156" s="328"/>
      <c r="L156" s="328"/>
      <c r="M156" s="328"/>
      <c r="N156" s="328"/>
      <c r="O156" s="328"/>
      <c r="P156" s="328"/>
      <c r="Q156" s="323"/>
      <c r="T156" s="77"/>
    </row>
    <row r="157" spans="1:25" ht="12.75" customHeight="1" x14ac:dyDescent="0.25">
      <c r="A157" s="328"/>
      <c r="B157" s="328" t="s">
        <v>299</v>
      </c>
      <c r="C157" s="328"/>
      <c r="D157" s="328"/>
      <c r="E157" s="328"/>
      <c r="F157" s="328"/>
      <c r="G157" s="328"/>
      <c r="H157" s="328"/>
      <c r="I157" s="328"/>
      <c r="J157" s="328"/>
      <c r="K157" s="328"/>
      <c r="L157" s="328"/>
      <c r="M157" s="328"/>
      <c r="N157" s="328"/>
      <c r="O157" s="328"/>
      <c r="P157" s="328"/>
      <c r="Q157" s="323"/>
    </row>
    <row r="158" spans="1:25" ht="12.75" customHeight="1" x14ac:dyDescent="0.25">
      <c r="A158" s="328"/>
      <c r="B158" s="328" t="s">
        <v>300</v>
      </c>
      <c r="C158" s="328"/>
      <c r="D158" s="328"/>
      <c r="E158" s="328"/>
      <c r="F158" s="328"/>
      <c r="G158" s="328"/>
      <c r="H158" s="328"/>
      <c r="I158" s="328"/>
      <c r="J158" s="328"/>
      <c r="K158" s="328"/>
      <c r="L158" s="328"/>
      <c r="M158" s="328"/>
      <c r="N158" s="328"/>
      <c r="O158" s="328"/>
      <c r="P158" s="328"/>
      <c r="Q158" s="323"/>
    </row>
    <row r="159" spans="1:25" ht="12.75" customHeight="1" x14ac:dyDescent="0.25">
      <c r="A159" s="328"/>
      <c r="B159" s="328" t="s">
        <v>301</v>
      </c>
      <c r="C159" s="328"/>
      <c r="D159" s="328"/>
      <c r="E159" s="328"/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328"/>
      <c r="Q159" s="323"/>
    </row>
    <row r="160" spans="1:25" ht="12.75" customHeight="1" x14ac:dyDescent="0.25">
      <c r="A160" s="327" t="s">
        <v>287</v>
      </c>
      <c r="B160" s="328" t="s">
        <v>292</v>
      </c>
      <c r="C160" s="328"/>
      <c r="D160" s="328"/>
      <c r="E160" s="328"/>
      <c r="F160" s="328"/>
      <c r="G160" s="328"/>
      <c r="H160" s="328"/>
      <c r="I160" s="328"/>
      <c r="J160" s="328"/>
      <c r="K160" s="328"/>
      <c r="L160" s="328"/>
      <c r="M160" s="328"/>
      <c r="N160" s="328"/>
      <c r="O160" s="328"/>
      <c r="P160" s="328"/>
      <c r="Q160" s="323"/>
    </row>
    <row r="161" spans="1:17" ht="12.75" customHeight="1" x14ac:dyDescent="0.25">
      <c r="A161" s="328"/>
      <c r="B161" s="328" t="s">
        <v>293</v>
      </c>
      <c r="C161" s="328"/>
      <c r="D161" s="328"/>
      <c r="E161" s="328"/>
      <c r="F161" s="328"/>
      <c r="G161" s="328"/>
      <c r="H161" s="328"/>
      <c r="I161" s="328"/>
      <c r="J161" s="328"/>
      <c r="K161" s="328"/>
      <c r="L161" s="328"/>
      <c r="M161" s="328"/>
      <c r="N161" s="328"/>
      <c r="O161" s="328"/>
      <c r="P161" s="328"/>
      <c r="Q161" s="323"/>
    </row>
    <row r="162" spans="1:17" ht="12.75" customHeight="1" x14ac:dyDescent="0.25">
      <c r="A162" s="327" t="s">
        <v>287</v>
      </c>
      <c r="B162" s="328" t="s">
        <v>294</v>
      </c>
      <c r="C162" s="328"/>
      <c r="D162" s="328"/>
      <c r="E162" s="328"/>
      <c r="F162" s="328"/>
      <c r="G162" s="328"/>
      <c r="H162" s="328"/>
      <c r="I162" s="328"/>
      <c r="J162" s="328"/>
      <c r="K162" s="328"/>
      <c r="L162" s="328"/>
      <c r="M162" s="328"/>
      <c r="N162" s="328"/>
      <c r="O162" s="328"/>
      <c r="P162" s="328"/>
      <c r="Q162" s="323"/>
    </row>
    <row r="163" spans="1:17" ht="12.75" customHeight="1" x14ac:dyDescent="0.25">
      <c r="A163" s="328"/>
      <c r="B163" s="328" t="s">
        <v>295</v>
      </c>
      <c r="C163" s="328"/>
      <c r="D163" s="328"/>
      <c r="E163" s="328"/>
      <c r="F163" s="328"/>
      <c r="G163" s="328"/>
      <c r="H163" s="328"/>
      <c r="I163" s="328"/>
      <c r="J163" s="328"/>
      <c r="K163" s="328"/>
      <c r="L163" s="328"/>
      <c r="M163" s="328"/>
      <c r="N163" s="328"/>
      <c r="O163" s="328"/>
      <c r="P163" s="328"/>
      <c r="Q163" s="323"/>
    </row>
    <row r="164" spans="1:17" ht="12.75" customHeight="1" x14ac:dyDescent="0.25">
      <c r="A164" s="327" t="s">
        <v>287</v>
      </c>
      <c r="B164" s="328" t="s">
        <v>296</v>
      </c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3"/>
    </row>
    <row r="165" spans="1:17" ht="12.75" customHeight="1" x14ac:dyDescent="0.2">
      <c r="A165" s="329" t="s">
        <v>297</v>
      </c>
      <c r="B165" s="328" t="s">
        <v>288</v>
      </c>
      <c r="C165" s="330"/>
      <c r="D165" s="330"/>
      <c r="E165" s="330"/>
      <c r="F165" s="330"/>
      <c r="G165" s="330"/>
      <c r="H165" s="330"/>
      <c r="I165" s="330"/>
      <c r="J165" s="330"/>
      <c r="K165" s="330"/>
      <c r="L165" s="330"/>
      <c r="M165" s="330"/>
      <c r="N165" s="330"/>
      <c r="O165" s="330"/>
      <c r="P165" s="330"/>
      <c r="Q165" s="324"/>
    </row>
    <row r="166" spans="1:17" ht="12.75" customHeight="1" x14ac:dyDescent="0.2">
      <c r="A166" s="331" t="s">
        <v>287</v>
      </c>
      <c r="B166" s="77" t="s">
        <v>298</v>
      </c>
    </row>
  </sheetData>
  <mergeCells count="40">
    <mergeCell ref="A135:A137"/>
    <mergeCell ref="B135:B137"/>
    <mergeCell ref="E135:G135"/>
    <mergeCell ref="H135:J135"/>
    <mergeCell ref="K135:M135"/>
    <mergeCell ref="H136:J136"/>
    <mergeCell ref="K136:M136"/>
    <mergeCell ref="A48:A50"/>
    <mergeCell ref="B48:B50"/>
    <mergeCell ref="H48:J48"/>
    <mergeCell ref="K48:M48"/>
    <mergeCell ref="A13:A15"/>
    <mergeCell ref="B13:B15"/>
    <mergeCell ref="H13:J13"/>
    <mergeCell ref="K13:M13"/>
    <mergeCell ref="E48:G48"/>
    <mergeCell ref="E13:G13"/>
    <mergeCell ref="Q13:S14"/>
    <mergeCell ref="T13:T15"/>
    <mergeCell ref="H14:J14"/>
    <mergeCell ref="K14:M14"/>
    <mergeCell ref="N13:P14"/>
    <mergeCell ref="N48:P49"/>
    <mergeCell ref="Q48:S49"/>
    <mergeCell ref="T48:T50"/>
    <mergeCell ref="H49:J49"/>
    <mergeCell ref="K49:M49"/>
    <mergeCell ref="H92:J92"/>
    <mergeCell ref="K92:M92"/>
    <mergeCell ref="N91:P92"/>
    <mergeCell ref="A91:A93"/>
    <mergeCell ref="B91:B93"/>
    <mergeCell ref="H91:J91"/>
    <mergeCell ref="K91:M91"/>
    <mergeCell ref="E91:G91"/>
    <mergeCell ref="N135:P136"/>
    <mergeCell ref="Q135:S136"/>
    <mergeCell ref="T135:T137"/>
    <mergeCell ref="Q91:S92"/>
    <mergeCell ref="T91:T93"/>
  </mergeCells>
  <pageMargins left="0.27559055118110237" right="0.15748031496062992" top="0.27559055118110237" bottom="0.23622047244094491" header="0.19685039370078741" footer="0.15748031496062992"/>
  <pageSetup paperSize="9" orientation="landscape" r:id="rId1"/>
  <headerFooter alignWithMargins="0"/>
  <ignoredErrors>
    <ignoredError sqref="O59:P5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Y216"/>
  <sheetViews>
    <sheetView tabSelected="1" topLeftCell="A145" zoomScale="170" zoomScaleNormal="170" workbookViewId="0">
      <selection activeCell="H165" sqref="H165"/>
    </sheetView>
  </sheetViews>
  <sheetFormatPr defaultRowHeight="15" x14ac:dyDescent="0.25"/>
  <cols>
    <col min="1" max="1" width="2.75" style="80" customWidth="1"/>
    <col min="2" max="2" width="17.875" style="81" customWidth="1"/>
    <col min="3" max="3" width="9.5" style="81" customWidth="1"/>
    <col min="4" max="4" width="9.375" style="81" customWidth="1"/>
    <col min="5" max="5" width="16.5" style="81" customWidth="1"/>
    <col min="6" max="6" width="5.25" style="81" customWidth="1"/>
    <col min="7" max="7" width="9.25" style="81" customWidth="1"/>
    <col min="8" max="8" width="17.25" style="81" customWidth="1"/>
    <col min="9" max="9" width="5.375" style="81" customWidth="1"/>
    <col min="10" max="10" width="10" style="81" bestFit="1" customWidth="1"/>
    <col min="11" max="11" width="9" style="81" customWidth="1"/>
    <col min="12" max="12" width="8.625" style="81" customWidth="1"/>
    <col min="13" max="13" width="7.875" style="81" customWidth="1"/>
    <col min="14" max="16384" width="9" style="81"/>
  </cols>
  <sheetData>
    <row r="2" spans="1:13" ht="18.75" customHeight="1" x14ac:dyDescent="0.25"/>
    <row r="3" spans="1:13" ht="15" customHeight="1" x14ac:dyDescent="0.25">
      <c r="A3" s="515" t="s">
        <v>1</v>
      </c>
      <c r="B3" s="515" t="s">
        <v>32</v>
      </c>
      <c r="C3" s="82" t="s">
        <v>33</v>
      </c>
      <c r="D3" s="518" t="s">
        <v>34</v>
      </c>
      <c r="E3" s="519"/>
      <c r="F3" s="519"/>
      <c r="G3" s="518" t="s">
        <v>35</v>
      </c>
      <c r="H3" s="519"/>
      <c r="I3" s="520"/>
      <c r="J3" s="521" t="s">
        <v>36</v>
      </c>
      <c r="K3" s="522"/>
      <c r="L3" s="523"/>
      <c r="M3" s="83"/>
    </row>
    <row r="4" spans="1:13" ht="15" customHeight="1" x14ac:dyDescent="0.25">
      <c r="A4" s="516"/>
      <c r="B4" s="516"/>
      <c r="C4" s="84" t="s">
        <v>37</v>
      </c>
      <c r="D4" s="515" t="s">
        <v>38</v>
      </c>
      <c r="E4" s="515" t="s">
        <v>39</v>
      </c>
      <c r="F4" s="515" t="s">
        <v>40</v>
      </c>
      <c r="G4" s="515" t="s">
        <v>38</v>
      </c>
      <c r="H4" s="515" t="s">
        <v>39</v>
      </c>
      <c r="I4" s="515" t="s">
        <v>40</v>
      </c>
      <c r="J4" s="515" t="s">
        <v>36</v>
      </c>
      <c r="K4" s="515" t="s">
        <v>41</v>
      </c>
      <c r="L4" s="82" t="s">
        <v>232</v>
      </c>
      <c r="M4" s="85" t="s">
        <v>42</v>
      </c>
    </row>
    <row r="5" spans="1:13" ht="15" customHeight="1" x14ac:dyDescent="0.25">
      <c r="A5" s="517"/>
      <c r="B5" s="517"/>
      <c r="C5" s="86"/>
      <c r="D5" s="517"/>
      <c r="E5" s="517"/>
      <c r="F5" s="517"/>
      <c r="G5" s="517"/>
      <c r="H5" s="517"/>
      <c r="I5" s="517"/>
      <c r="J5" s="517"/>
      <c r="K5" s="517"/>
      <c r="L5" s="87" t="s">
        <v>233</v>
      </c>
      <c r="M5" s="88"/>
    </row>
    <row r="6" spans="1:13" ht="15" customHeight="1" x14ac:dyDescent="0.25">
      <c r="A6" s="82">
        <v>1</v>
      </c>
      <c r="B6" s="83" t="s">
        <v>43</v>
      </c>
      <c r="C6" s="83" t="s">
        <v>304</v>
      </c>
      <c r="D6" s="83" t="s">
        <v>44</v>
      </c>
      <c r="E6" s="83" t="s">
        <v>11</v>
      </c>
      <c r="F6" s="82" t="s">
        <v>45</v>
      </c>
      <c r="G6" s="83" t="s">
        <v>44</v>
      </c>
      <c r="H6" s="83" t="s">
        <v>11</v>
      </c>
      <c r="I6" s="82" t="s">
        <v>45</v>
      </c>
      <c r="J6" s="89">
        <f>41250*12</f>
        <v>495000</v>
      </c>
      <c r="K6" s="89">
        <f>7000*12</f>
        <v>84000</v>
      </c>
      <c r="L6" s="89">
        <f>7000*12</f>
        <v>84000</v>
      </c>
      <c r="M6" s="90">
        <f>SUM(J6:L6)</f>
        <v>663000</v>
      </c>
    </row>
    <row r="7" spans="1:13" ht="15" customHeight="1" x14ac:dyDescent="0.25">
      <c r="A7" s="84"/>
      <c r="B7" s="91"/>
      <c r="C7" s="91" t="s">
        <v>305</v>
      </c>
      <c r="D7" s="92"/>
      <c r="E7" s="92" t="s">
        <v>46</v>
      </c>
      <c r="F7" s="84"/>
      <c r="G7" s="92"/>
      <c r="H7" s="92" t="s">
        <v>46</v>
      </c>
      <c r="I7" s="84"/>
      <c r="J7" s="256" t="s">
        <v>407</v>
      </c>
      <c r="K7" s="256" t="s">
        <v>213</v>
      </c>
      <c r="L7" s="256" t="s">
        <v>213</v>
      </c>
      <c r="M7" s="91"/>
    </row>
    <row r="8" spans="1:13" ht="15" customHeight="1" x14ac:dyDescent="0.25">
      <c r="A8" s="94">
        <v>2</v>
      </c>
      <c r="B8" s="259" t="s">
        <v>199</v>
      </c>
      <c r="C8" s="95" t="s">
        <v>88</v>
      </c>
      <c r="D8" s="91" t="s">
        <v>48</v>
      </c>
      <c r="E8" s="95" t="s">
        <v>12</v>
      </c>
      <c r="F8" s="94" t="s">
        <v>49</v>
      </c>
      <c r="G8" s="91" t="s">
        <v>48</v>
      </c>
      <c r="H8" s="95" t="s">
        <v>12</v>
      </c>
      <c r="I8" s="94" t="s">
        <v>49</v>
      </c>
      <c r="J8" s="96">
        <f>32450*12</f>
        <v>389400</v>
      </c>
      <c r="K8" s="96">
        <f>3500*12</f>
        <v>42000</v>
      </c>
      <c r="L8" s="96">
        <v>0</v>
      </c>
      <c r="M8" s="97">
        <f>SUM(J8:L8)</f>
        <v>431400</v>
      </c>
    </row>
    <row r="9" spans="1:13" ht="15" customHeight="1" thickBot="1" x14ac:dyDescent="0.3">
      <c r="A9" s="98"/>
      <c r="B9" s="99"/>
      <c r="C9" s="99" t="s">
        <v>200</v>
      </c>
      <c r="D9" s="99"/>
      <c r="E9" s="99" t="s">
        <v>46</v>
      </c>
      <c r="F9" s="98"/>
      <c r="G9" s="99"/>
      <c r="H9" s="99" t="s">
        <v>46</v>
      </c>
      <c r="I9" s="98"/>
      <c r="J9" s="265" t="s">
        <v>229</v>
      </c>
      <c r="K9" s="265" t="s">
        <v>214</v>
      </c>
      <c r="L9" s="100"/>
      <c r="M9" s="99"/>
    </row>
    <row r="10" spans="1:13" ht="15" customHeight="1" x14ac:dyDescent="0.25">
      <c r="A10" s="344"/>
      <c r="B10" s="345" t="s">
        <v>463</v>
      </c>
      <c r="C10" s="346"/>
      <c r="D10" s="346"/>
      <c r="E10" s="346"/>
      <c r="F10" s="344"/>
      <c r="G10" s="346"/>
      <c r="H10" s="346"/>
      <c r="I10" s="344"/>
      <c r="J10" s="347"/>
      <c r="K10" s="347"/>
      <c r="L10" s="348"/>
      <c r="M10" s="346"/>
    </row>
    <row r="11" spans="1:13" ht="15" customHeight="1" x14ac:dyDescent="0.25">
      <c r="A11" s="84"/>
      <c r="B11" s="111" t="s">
        <v>50</v>
      </c>
      <c r="C11" s="91"/>
      <c r="D11" s="91"/>
      <c r="E11" s="91"/>
      <c r="F11" s="84"/>
      <c r="G11" s="91"/>
      <c r="H11" s="91"/>
      <c r="I11" s="84"/>
      <c r="J11" s="256"/>
      <c r="K11" s="256"/>
      <c r="L11" s="93"/>
      <c r="M11" s="91"/>
    </row>
    <row r="12" spans="1:13" ht="15" customHeight="1" x14ac:dyDescent="0.25">
      <c r="A12" s="84">
        <v>3</v>
      </c>
      <c r="B12" s="91" t="s">
        <v>51</v>
      </c>
      <c r="C12" s="91" t="s">
        <v>306</v>
      </c>
      <c r="D12" s="91" t="s">
        <v>52</v>
      </c>
      <c r="E12" s="91" t="s">
        <v>14</v>
      </c>
      <c r="F12" s="84" t="s">
        <v>49</v>
      </c>
      <c r="G12" s="91" t="s">
        <v>52</v>
      </c>
      <c r="H12" s="91" t="s">
        <v>14</v>
      </c>
      <c r="I12" s="84" t="s">
        <v>49</v>
      </c>
      <c r="J12" s="93">
        <f>35220*12</f>
        <v>422640</v>
      </c>
      <c r="K12" s="93">
        <f>3500*12</f>
        <v>42000</v>
      </c>
      <c r="L12" s="93">
        <v>0</v>
      </c>
      <c r="M12" s="102">
        <f>SUM(J12:L12)</f>
        <v>464640</v>
      </c>
    </row>
    <row r="13" spans="1:13" ht="15" customHeight="1" x14ac:dyDescent="0.25">
      <c r="A13" s="105"/>
      <c r="B13" s="92"/>
      <c r="C13" s="92" t="s">
        <v>307</v>
      </c>
      <c r="D13" s="92"/>
      <c r="E13" s="92" t="s">
        <v>53</v>
      </c>
      <c r="F13" s="105"/>
      <c r="G13" s="92"/>
      <c r="H13" s="92" t="s">
        <v>53</v>
      </c>
      <c r="I13" s="105"/>
      <c r="J13" s="108" t="s">
        <v>408</v>
      </c>
      <c r="K13" s="108" t="s">
        <v>216</v>
      </c>
      <c r="L13" s="108"/>
      <c r="M13" s="92"/>
    </row>
    <row r="14" spans="1:13" ht="15" customHeight="1" x14ac:dyDescent="0.25">
      <c r="A14" s="84">
        <v>4</v>
      </c>
      <c r="B14" s="91" t="s">
        <v>245</v>
      </c>
      <c r="C14" s="91" t="s">
        <v>308</v>
      </c>
      <c r="D14" s="91" t="s">
        <v>68</v>
      </c>
      <c r="E14" s="91" t="s">
        <v>69</v>
      </c>
      <c r="F14" s="84" t="s">
        <v>56</v>
      </c>
      <c r="G14" s="91" t="s">
        <v>68</v>
      </c>
      <c r="H14" s="91" t="s">
        <v>69</v>
      </c>
      <c r="I14" s="84" t="s">
        <v>56</v>
      </c>
      <c r="J14" s="93">
        <v>0</v>
      </c>
      <c r="K14" s="93">
        <v>0</v>
      </c>
      <c r="L14" s="93">
        <v>0</v>
      </c>
      <c r="M14" s="270" t="s">
        <v>223</v>
      </c>
    </row>
    <row r="15" spans="1:13" ht="15" customHeight="1" x14ac:dyDescent="0.25">
      <c r="A15" s="84"/>
      <c r="B15" s="91"/>
      <c r="C15" s="91" t="s">
        <v>309</v>
      </c>
      <c r="D15" s="91"/>
      <c r="E15" s="91"/>
      <c r="F15" s="84"/>
      <c r="G15" s="91"/>
      <c r="H15" s="91"/>
      <c r="I15" s="84"/>
      <c r="J15" s="129"/>
      <c r="K15" s="93"/>
      <c r="L15" s="93"/>
      <c r="M15" s="84"/>
    </row>
    <row r="16" spans="1:13" ht="15" customHeight="1" x14ac:dyDescent="0.25">
      <c r="A16" s="94">
        <v>5</v>
      </c>
      <c r="B16" s="95" t="s">
        <v>59</v>
      </c>
      <c r="C16" s="95" t="s">
        <v>308</v>
      </c>
      <c r="D16" s="95" t="s">
        <v>60</v>
      </c>
      <c r="E16" s="95" t="s">
        <v>61</v>
      </c>
      <c r="F16" s="94" t="s">
        <v>56</v>
      </c>
      <c r="G16" s="95" t="s">
        <v>60</v>
      </c>
      <c r="H16" s="95" t="s">
        <v>61</v>
      </c>
      <c r="I16" s="94" t="s">
        <v>56</v>
      </c>
      <c r="J16" s="422">
        <f>35220*12</f>
        <v>422640</v>
      </c>
      <c r="K16" s="96">
        <v>0</v>
      </c>
      <c r="L16" s="96">
        <v>0</v>
      </c>
      <c r="M16" s="238">
        <f>J16</f>
        <v>422640</v>
      </c>
    </row>
    <row r="17" spans="1:25" ht="15" customHeight="1" x14ac:dyDescent="0.25">
      <c r="A17" s="105"/>
      <c r="B17" s="92"/>
      <c r="C17" s="92" t="s">
        <v>309</v>
      </c>
      <c r="D17" s="92"/>
      <c r="E17" s="92"/>
      <c r="F17" s="105"/>
      <c r="G17" s="92"/>
      <c r="H17" s="92"/>
      <c r="I17" s="105"/>
      <c r="J17" s="423" t="s">
        <v>408</v>
      </c>
      <c r="K17" s="108"/>
      <c r="L17" s="108"/>
      <c r="M17" s="105"/>
    </row>
    <row r="18" spans="1:25" s="268" customFormat="1" ht="15" customHeight="1" x14ac:dyDescent="0.25">
      <c r="A18" s="94">
        <v>6</v>
      </c>
      <c r="B18" s="259" t="s">
        <v>215</v>
      </c>
      <c r="C18" s="95" t="s">
        <v>88</v>
      </c>
      <c r="D18" s="95" t="s">
        <v>54</v>
      </c>
      <c r="E18" s="95" t="s">
        <v>55</v>
      </c>
      <c r="F18" s="94" t="s">
        <v>65</v>
      </c>
      <c r="G18" s="95" t="s">
        <v>54</v>
      </c>
      <c r="H18" s="95" t="s">
        <v>55</v>
      </c>
      <c r="I18" s="94" t="s">
        <v>65</v>
      </c>
      <c r="J18" s="422">
        <f>17570*12</f>
        <v>210840</v>
      </c>
      <c r="K18" s="96">
        <v>0</v>
      </c>
      <c r="L18" s="96">
        <v>0</v>
      </c>
      <c r="M18" s="238">
        <f>J18</f>
        <v>210840</v>
      </c>
      <c r="N18" s="281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</row>
    <row r="19" spans="1:25" s="268" customFormat="1" ht="15" customHeight="1" x14ac:dyDescent="0.25">
      <c r="A19" s="84"/>
      <c r="B19" s="261"/>
      <c r="C19" s="91" t="s">
        <v>305</v>
      </c>
      <c r="D19" s="91"/>
      <c r="E19" s="91"/>
      <c r="F19" s="84"/>
      <c r="G19" s="91"/>
      <c r="H19" s="91"/>
      <c r="I19" s="84"/>
      <c r="J19" s="424" t="s">
        <v>225</v>
      </c>
      <c r="K19" s="93"/>
      <c r="L19" s="93"/>
      <c r="M19" s="84"/>
      <c r="N19" s="281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</row>
    <row r="20" spans="1:25" s="268" customFormat="1" ht="15" customHeight="1" x14ac:dyDescent="0.25">
      <c r="A20" s="94">
        <v>7</v>
      </c>
      <c r="B20" s="259" t="s">
        <v>244</v>
      </c>
      <c r="C20" s="95" t="s">
        <v>312</v>
      </c>
      <c r="D20" s="95" t="s">
        <v>67</v>
      </c>
      <c r="E20" s="95" t="s">
        <v>66</v>
      </c>
      <c r="F20" s="94" t="s">
        <v>56</v>
      </c>
      <c r="G20" s="95" t="s">
        <v>67</v>
      </c>
      <c r="H20" s="95" t="s">
        <v>66</v>
      </c>
      <c r="I20" s="94" t="s">
        <v>56</v>
      </c>
      <c r="J20" s="422">
        <f>30790*12</f>
        <v>369480</v>
      </c>
      <c r="K20" s="96">
        <v>0</v>
      </c>
      <c r="L20" s="96">
        <v>0</v>
      </c>
      <c r="M20" s="238">
        <f>J20</f>
        <v>369480</v>
      </c>
      <c r="N20" s="281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</row>
    <row r="21" spans="1:25" s="268" customFormat="1" ht="15" customHeight="1" x14ac:dyDescent="0.25">
      <c r="A21" s="105"/>
      <c r="B21" s="260"/>
      <c r="C21" s="92" t="s">
        <v>313</v>
      </c>
      <c r="D21" s="92"/>
      <c r="E21" s="92"/>
      <c r="F21" s="105"/>
      <c r="G21" s="92"/>
      <c r="H21" s="92"/>
      <c r="I21" s="105"/>
      <c r="J21" s="423" t="s">
        <v>411</v>
      </c>
      <c r="K21" s="108"/>
      <c r="L21" s="108"/>
      <c r="M21" s="105"/>
      <c r="N21" s="281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</row>
    <row r="22" spans="1:25" s="268" customFormat="1" ht="15" customHeight="1" x14ac:dyDescent="0.25">
      <c r="A22" s="94">
        <v>8</v>
      </c>
      <c r="B22" s="259" t="s">
        <v>210</v>
      </c>
      <c r="C22" s="95" t="s">
        <v>310</v>
      </c>
      <c r="D22" s="95" t="s">
        <v>58</v>
      </c>
      <c r="E22" s="95" t="s">
        <v>57</v>
      </c>
      <c r="F22" s="94" t="s">
        <v>65</v>
      </c>
      <c r="G22" s="95" t="s">
        <v>58</v>
      </c>
      <c r="H22" s="95" t="s">
        <v>57</v>
      </c>
      <c r="I22" s="94" t="s">
        <v>65</v>
      </c>
      <c r="J22" s="422">
        <f>15420*12</f>
        <v>185040</v>
      </c>
      <c r="K22" s="96">
        <v>0</v>
      </c>
      <c r="L22" s="96">
        <v>0</v>
      </c>
      <c r="M22" s="238">
        <f>J22</f>
        <v>185040</v>
      </c>
      <c r="N22" s="281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</row>
    <row r="23" spans="1:25" s="268" customFormat="1" ht="15" customHeight="1" x14ac:dyDescent="0.25">
      <c r="A23" s="105"/>
      <c r="B23" s="260"/>
      <c r="C23" s="92" t="s">
        <v>314</v>
      </c>
      <c r="D23" s="92"/>
      <c r="E23" s="92"/>
      <c r="F23" s="105"/>
      <c r="G23" s="92"/>
      <c r="H23" s="92"/>
      <c r="I23" s="105"/>
      <c r="J23" s="423" t="s">
        <v>409</v>
      </c>
      <c r="K23" s="108"/>
      <c r="L23" s="108"/>
      <c r="M23" s="105"/>
      <c r="N23" s="281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</row>
    <row r="24" spans="1:25" s="268" customFormat="1" ht="15" customHeight="1" x14ac:dyDescent="0.25">
      <c r="A24" s="94">
        <v>9</v>
      </c>
      <c r="B24" s="236" t="s">
        <v>62</v>
      </c>
      <c r="C24" s="95" t="s">
        <v>310</v>
      </c>
      <c r="D24" s="95" t="s">
        <v>64</v>
      </c>
      <c r="E24" s="95" t="s">
        <v>63</v>
      </c>
      <c r="F24" s="94" t="s">
        <v>56</v>
      </c>
      <c r="G24" s="95" t="s">
        <v>64</v>
      </c>
      <c r="H24" s="95" t="s">
        <v>63</v>
      </c>
      <c r="I24" s="94" t="s">
        <v>56</v>
      </c>
      <c r="J24" s="104">
        <f>27480*12</f>
        <v>329760</v>
      </c>
      <c r="K24" s="96">
        <v>0</v>
      </c>
      <c r="L24" s="96">
        <v>0</v>
      </c>
      <c r="M24" s="238">
        <f>J24</f>
        <v>329760</v>
      </c>
      <c r="N24" s="281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</row>
    <row r="25" spans="1:25" s="268" customFormat="1" ht="15" customHeight="1" x14ac:dyDescent="0.25">
      <c r="A25" s="105"/>
      <c r="B25" s="106"/>
      <c r="C25" s="92" t="s">
        <v>311</v>
      </c>
      <c r="D25" s="92"/>
      <c r="E25" s="92"/>
      <c r="F25" s="105"/>
      <c r="G25" s="92"/>
      <c r="H25" s="92"/>
      <c r="I25" s="105"/>
      <c r="J25" s="282" t="s">
        <v>410</v>
      </c>
      <c r="K25" s="108"/>
      <c r="L25" s="108"/>
      <c r="M25" s="105"/>
      <c r="N25" s="281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</row>
    <row r="26" spans="1:25" s="268" customFormat="1" ht="15" customHeight="1" x14ac:dyDescent="0.25">
      <c r="A26" s="84">
        <v>10</v>
      </c>
      <c r="B26" s="91" t="s">
        <v>74</v>
      </c>
      <c r="C26" s="91" t="s">
        <v>207</v>
      </c>
      <c r="D26" s="91" t="s">
        <v>75</v>
      </c>
      <c r="E26" s="91" t="s">
        <v>76</v>
      </c>
      <c r="F26" s="273" t="s">
        <v>77</v>
      </c>
      <c r="G26" s="91" t="s">
        <v>75</v>
      </c>
      <c r="H26" s="91" t="s">
        <v>76</v>
      </c>
      <c r="I26" s="273" t="s">
        <v>77</v>
      </c>
      <c r="J26" s="425">
        <f>15140*12</f>
        <v>181680</v>
      </c>
      <c r="K26" s="93">
        <v>0</v>
      </c>
      <c r="L26" s="93">
        <v>0</v>
      </c>
      <c r="M26" s="270">
        <f>J26</f>
        <v>181680</v>
      </c>
      <c r="N26" s="281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</row>
    <row r="27" spans="1:25" s="268" customFormat="1" ht="15" customHeight="1" x14ac:dyDescent="0.25">
      <c r="A27" s="84"/>
      <c r="C27" s="91" t="s">
        <v>317</v>
      </c>
      <c r="J27" s="275" t="s">
        <v>412</v>
      </c>
      <c r="N27" s="281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</row>
    <row r="28" spans="1:25" s="268" customFormat="1" ht="15" customHeight="1" x14ac:dyDescent="0.25">
      <c r="A28" s="94">
        <v>11</v>
      </c>
      <c r="B28" s="259" t="s">
        <v>201</v>
      </c>
      <c r="C28" s="95" t="s">
        <v>315</v>
      </c>
      <c r="D28" s="95" t="s">
        <v>70</v>
      </c>
      <c r="E28" s="95" t="s">
        <v>363</v>
      </c>
      <c r="F28" s="266" t="s">
        <v>202</v>
      </c>
      <c r="G28" s="95" t="s">
        <v>70</v>
      </c>
      <c r="H28" s="95" t="s">
        <v>363</v>
      </c>
      <c r="I28" s="266" t="s">
        <v>77</v>
      </c>
      <c r="J28" s="422">
        <f>11700*12</f>
        <v>140400</v>
      </c>
      <c r="K28" s="96">
        <v>0</v>
      </c>
      <c r="L28" s="96">
        <v>0</v>
      </c>
      <c r="M28" s="238">
        <f>J28</f>
        <v>140400</v>
      </c>
      <c r="N28" s="281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</row>
    <row r="29" spans="1:25" s="268" customFormat="1" ht="15" customHeight="1" x14ac:dyDescent="0.25">
      <c r="A29" s="105"/>
      <c r="B29" s="260"/>
      <c r="C29" s="92" t="s">
        <v>316</v>
      </c>
      <c r="D29" s="92"/>
      <c r="E29" s="92"/>
      <c r="F29" s="274"/>
      <c r="G29" s="92"/>
      <c r="H29" s="92"/>
      <c r="I29" s="274"/>
      <c r="J29" s="423" t="s">
        <v>413</v>
      </c>
      <c r="K29" s="108"/>
      <c r="L29" s="108"/>
      <c r="M29" s="105"/>
      <c r="N29" s="281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</row>
    <row r="30" spans="1:25" s="268" customFormat="1" ht="15" customHeight="1" x14ac:dyDescent="0.25">
      <c r="A30" s="94">
        <v>12</v>
      </c>
      <c r="B30" s="267" t="s">
        <v>47</v>
      </c>
      <c r="C30" s="95"/>
      <c r="D30" s="94" t="s">
        <v>73</v>
      </c>
      <c r="E30" s="95" t="s">
        <v>72</v>
      </c>
      <c r="F30" s="266" t="s">
        <v>71</v>
      </c>
      <c r="G30" s="94" t="s">
        <v>73</v>
      </c>
      <c r="H30" s="95" t="s">
        <v>72</v>
      </c>
      <c r="I30" s="266" t="s">
        <v>71</v>
      </c>
      <c r="J30" s="422">
        <f>((8750+40900)/2)*12</f>
        <v>297900</v>
      </c>
      <c r="K30" s="96">
        <v>0</v>
      </c>
      <c r="L30" s="96">
        <v>0</v>
      </c>
      <c r="M30" s="94" t="s">
        <v>217</v>
      </c>
      <c r="N30" s="281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</row>
    <row r="31" spans="1:25" s="268" customFormat="1" ht="15" customHeight="1" x14ac:dyDescent="0.25">
      <c r="A31" s="84"/>
      <c r="B31" s="261"/>
      <c r="C31" s="91"/>
      <c r="D31" s="84"/>
      <c r="E31" s="91"/>
      <c r="F31" s="271"/>
      <c r="G31" s="84"/>
      <c r="H31" s="91"/>
      <c r="I31" s="271"/>
      <c r="J31" s="343" t="s">
        <v>218</v>
      </c>
      <c r="K31" s="93"/>
      <c r="L31" s="93"/>
      <c r="M31" s="84"/>
      <c r="N31" s="281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</row>
    <row r="32" spans="1:25" s="268" customFormat="1" x14ac:dyDescent="0.25">
      <c r="A32" s="333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</row>
    <row r="33" spans="1:25" s="269" customFormat="1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</row>
    <row r="34" spans="1:25" s="233" customFormat="1" x14ac:dyDescent="0.25"/>
    <row r="36" spans="1:25" x14ac:dyDescent="0.25">
      <c r="A36" s="515" t="s">
        <v>1</v>
      </c>
      <c r="B36" s="515" t="s">
        <v>32</v>
      </c>
      <c r="C36" s="82" t="s">
        <v>33</v>
      </c>
      <c r="D36" s="518" t="s">
        <v>34</v>
      </c>
      <c r="E36" s="519"/>
      <c r="F36" s="519"/>
      <c r="G36" s="518" t="s">
        <v>35</v>
      </c>
      <c r="H36" s="519"/>
      <c r="I36" s="520"/>
      <c r="J36" s="521" t="s">
        <v>36</v>
      </c>
      <c r="K36" s="522"/>
      <c r="L36" s="523"/>
      <c r="M36" s="83"/>
    </row>
    <row r="37" spans="1:25" x14ac:dyDescent="0.25">
      <c r="A37" s="516"/>
      <c r="B37" s="516"/>
      <c r="C37" s="84" t="s">
        <v>37</v>
      </c>
      <c r="D37" s="515" t="s">
        <v>38</v>
      </c>
      <c r="E37" s="515" t="s">
        <v>39</v>
      </c>
      <c r="F37" s="515" t="s">
        <v>40</v>
      </c>
      <c r="G37" s="515" t="s">
        <v>38</v>
      </c>
      <c r="H37" s="515" t="s">
        <v>39</v>
      </c>
      <c r="I37" s="515" t="s">
        <v>40</v>
      </c>
      <c r="J37" s="515" t="s">
        <v>36</v>
      </c>
      <c r="K37" s="515" t="s">
        <v>41</v>
      </c>
      <c r="L37" s="82" t="s">
        <v>232</v>
      </c>
      <c r="M37" s="196" t="s">
        <v>42</v>
      </c>
    </row>
    <row r="38" spans="1:25" x14ac:dyDescent="0.25">
      <c r="A38" s="517"/>
      <c r="B38" s="517"/>
      <c r="C38" s="86"/>
      <c r="D38" s="517"/>
      <c r="E38" s="517"/>
      <c r="F38" s="517"/>
      <c r="G38" s="517"/>
      <c r="H38" s="517"/>
      <c r="I38" s="517"/>
      <c r="J38" s="517"/>
      <c r="K38" s="517"/>
      <c r="L38" s="87" t="s">
        <v>233</v>
      </c>
      <c r="M38" s="88"/>
    </row>
    <row r="39" spans="1:25" x14ac:dyDescent="0.25">
      <c r="A39" s="360"/>
      <c r="B39" s="417" t="s">
        <v>220</v>
      </c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</row>
    <row r="40" spans="1:25" x14ac:dyDescent="0.25">
      <c r="A40" s="275">
        <v>13</v>
      </c>
      <c r="B40" s="91" t="s">
        <v>89</v>
      </c>
      <c r="C40" s="91" t="s">
        <v>90</v>
      </c>
      <c r="D40" s="84" t="s">
        <v>80</v>
      </c>
      <c r="E40" s="91" t="s">
        <v>162</v>
      </c>
      <c r="F40" s="84" t="s">
        <v>80</v>
      </c>
      <c r="G40" s="84" t="s">
        <v>80</v>
      </c>
      <c r="H40" s="91" t="s">
        <v>162</v>
      </c>
      <c r="I40" s="84" t="s">
        <v>80</v>
      </c>
      <c r="J40" s="129">
        <f>14890*12</f>
        <v>178680</v>
      </c>
      <c r="K40" s="93">
        <v>0</v>
      </c>
      <c r="L40" s="93">
        <v>0</v>
      </c>
      <c r="M40" s="102">
        <f>J40</f>
        <v>178680</v>
      </c>
    </row>
    <row r="41" spans="1:25" x14ac:dyDescent="0.25">
      <c r="A41" s="257"/>
      <c r="B41" s="92"/>
      <c r="C41" s="92" t="s">
        <v>320</v>
      </c>
      <c r="D41" s="105"/>
      <c r="E41" s="92"/>
      <c r="F41" s="105"/>
      <c r="G41" s="105"/>
      <c r="H41" s="92"/>
      <c r="I41" s="105"/>
      <c r="J41" s="114" t="s">
        <v>414</v>
      </c>
      <c r="K41" s="108"/>
      <c r="L41" s="108"/>
      <c r="M41" s="92"/>
    </row>
    <row r="42" spans="1:25" x14ac:dyDescent="0.25">
      <c r="A42" s="275">
        <v>14</v>
      </c>
      <c r="B42" s="91" t="s">
        <v>221</v>
      </c>
      <c r="C42" s="91" t="s">
        <v>90</v>
      </c>
      <c r="D42" s="84" t="s">
        <v>80</v>
      </c>
      <c r="E42" s="235" t="s">
        <v>185</v>
      </c>
      <c r="F42" s="84" t="s">
        <v>80</v>
      </c>
      <c r="G42" s="84" t="s">
        <v>80</v>
      </c>
      <c r="H42" s="235" t="s">
        <v>185</v>
      </c>
      <c r="I42" s="84" t="s">
        <v>80</v>
      </c>
      <c r="J42" s="129">
        <f>11190*12</f>
        <v>134280</v>
      </c>
      <c r="K42" s="93">
        <v>0</v>
      </c>
      <c r="L42" s="93">
        <v>0</v>
      </c>
      <c r="M42" s="102">
        <f>J42</f>
        <v>134280</v>
      </c>
    </row>
    <row r="43" spans="1:25" x14ac:dyDescent="0.25">
      <c r="A43" s="275"/>
      <c r="B43" s="91"/>
      <c r="C43" s="91" t="s">
        <v>323</v>
      </c>
      <c r="D43" s="84"/>
      <c r="E43" s="235"/>
      <c r="F43" s="84"/>
      <c r="G43" s="84"/>
      <c r="H43" s="235"/>
      <c r="I43" s="84"/>
      <c r="J43" s="256" t="s">
        <v>415</v>
      </c>
      <c r="K43" s="93"/>
      <c r="L43" s="93"/>
      <c r="M43" s="102"/>
    </row>
    <row r="44" spans="1:25" x14ac:dyDescent="0.25">
      <c r="A44" s="207">
        <v>15</v>
      </c>
      <c r="B44" s="259" t="s">
        <v>203</v>
      </c>
      <c r="C44" s="95" t="s">
        <v>319</v>
      </c>
      <c r="D44" s="94" t="s">
        <v>80</v>
      </c>
      <c r="E44" s="236" t="s">
        <v>19</v>
      </c>
      <c r="F44" s="94" t="s">
        <v>80</v>
      </c>
      <c r="G44" s="94" t="s">
        <v>80</v>
      </c>
      <c r="H44" s="278" t="s">
        <v>19</v>
      </c>
      <c r="I44" s="94" t="s">
        <v>80</v>
      </c>
      <c r="J44" s="418">
        <f>12380*12</f>
        <v>148560</v>
      </c>
      <c r="K44" s="96">
        <v>0</v>
      </c>
      <c r="L44" s="96">
        <v>0</v>
      </c>
      <c r="M44" s="238">
        <f>J44</f>
        <v>148560</v>
      </c>
    </row>
    <row r="45" spans="1:25" x14ac:dyDescent="0.25">
      <c r="A45" s="257"/>
      <c r="B45" s="260"/>
      <c r="C45" s="92" t="s">
        <v>318</v>
      </c>
      <c r="D45" s="105"/>
      <c r="E45" s="106"/>
      <c r="F45" s="105"/>
      <c r="G45" s="105"/>
      <c r="H45" s="419"/>
      <c r="I45" s="105"/>
      <c r="J45" s="420" t="s">
        <v>416</v>
      </c>
      <c r="K45" s="108"/>
      <c r="L45" s="108"/>
      <c r="M45" s="105"/>
    </row>
    <row r="46" spans="1:25" x14ac:dyDescent="0.25">
      <c r="A46" s="275">
        <v>16</v>
      </c>
      <c r="B46" s="91" t="s">
        <v>367</v>
      </c>
      <c r="C46" s="91" t="s">
        <v>310</v>
      </c>
      <c r="D46" s="84" t="s">
        <v>80</v>
      </c>
      <c r="E46" s="91" t="s">
        <v>165</v>
      </c>
      <c r="F46" s="84" t="s">
        <v>80</v>
      </c>
      <c r="G46" s="84" t="s">
        <v>80</v>
      </c>
      <c r="H46" s="91" t="s">
        <v>165</v>
      </c>
      <c r="I46" s="84" t="s">
        <v>80</v>
      </c>
      <c r="J46" s="129">
        <f>13790*12</f>
        <v>165480</v>
      </c>
      <c r="K46" s="93">
        <v>0</v>
      </c>
      <c r="L46" s="93">
        <v>0</v>
      </c>
      <c r="M46" s="102">
        <f>J46</f>
        <v>165480</v>
      </c>
    </row>
    <row r="47" spans="1:25" x14ac:dyDescent="0.25">
      <c r="A47" s="275"/>
      <c r="B47" s="91"/>
      <c r="C47" s="91" t="s">
        <v>321</v>
      </c>
      <c r="D47" s="84"/>
      <c r="E47" s="91"/>
      <c r="F47" s="84"/>
      <c r="G47" s="84"/>
      <c r="H47" s="91"/>
      <c r="I47" s="84"/>
      <c r="J47" s="168" t="s">
        <v>417</v>
      </c>
      <c r="K47" s="93"/>
      <c r="L47" s="93"/>
      <c r="M47" s="91"/>
    </row>
    <row r="48" spans="1:25" x14ac:dyDescent="0.25">
      <c r="A48" s="207">
        <v>17</v>
      </c>
      <c r="B48" s="95" t="s">
        <v>91</v>
      </c>
      <c r="C48" s="95" t="s">
        <v>90</v>
      </c>
      <c r="D48" s="94" t="s">
        <v>80</v>
      </c>
      <c r="E48" s="95" t="s">
        <v>170</v>
      </c>
      <c r="F48" s="94" t="s">
        <v>80</v>
      </c>
      <c r="G48" s="94" t="s">
        <v>80</v>
      </c>
      <c r="H48" s="95" t="s">
        <v>170</v>
      </c>
      <c r="I48" s="94" t="s">
        <v>80</v>
      </c>
      <c r="J48" s="112">
        <f>12530*12</f>
        <v>150360</v>
      </c>
      <c r="K48" s="96">
        <v>0</v>
      </c>
      <c r="L48" s="96">
        <v>0</v>
      </c>
      <c r="M48" s="97">
        <f>J48</f>
        <v>150360</v>
      </c>
    </row>
    <row r="49" spans="1:13" x14ac:dyDescent="0.25">
      <c r="A49" s="257"/>
      <c r="B49" s="92"/>
      <c r="C49" s="92" t="s">
        <v>322</v>
      </c>
      <c r="D49" s="105"/>
      <c r="E49" s="92"/>
      <c r="F49" s="105"/>
      <c r="G49" s="105"/>
      <c r="H49" s="92"/>
      <c r="I49" s="105"/>
      <c r="J49" s="114" t="s">
        <v>227</v>
      </c>
      <c r="K49" s="108"/>
      <c r="L49" s="108"/>
      <c r="M49" s="92"/>
    </row>
    <row r="50" spans="1:13" x14ac:dyDescent="0.25">
      <c r="A50" s="94"/>
      <c r="B50" s="208" t="s">
        <v>219</v>
      </c>
      <c r="C50" s="95"/>
      <c r="D50" s="94"/>
      <c r="E50" s="95"/>
      <c r="F50" s="94"/>
      <c r="G50" s="94"/>
      <c r="H50" s="95"/>
      <c r="I50" s="94"/>
      <c r="J50" s="96"/>
      <c r="K50" s="96"/>
      <c r="L50" s="96"/>
      <c r="M50" s="95"/>
    </row>
    <row r="51" spans="1:13" x14ac:dyDescent="0.25">
      <c r="A51" s="84">
        <v>18</v>
      </c>
      <c r="B51" s="91" t="s">
        <v>92</v>
      </c>
      <c r="C51" s="91" t="s">
        <v>169</v>
      </c>
      <c r="D51" s="84" t="s">
        <v>80</v>
      </c>
      <c r="E51" s="91" t="s">
        <v>20</v>
      </c>
      <c r="F51" s="84" t="s">
        <v>80</v>
      </c>
      <c r="G51" s="84" t="s">
        <v>80</v>
      </c>
      <c r="H51" s="91" t="s">
        <v>20</v>
      </c>
      <c r="I51" s="84" t="s">
        <v>80</v>
      </c>
      <c r="J51" s="129">
        <f>15470*12</f>
        <v>185640</v>
      </c>
      <c r="K51" s="93">
        <v>0</v>
      </c>
      <c r="L51" s="93">
        <v>0</v>
      </c>
      <c r="M51" s="102">
        <f>J51</f>
        <v>185640</v>
      </c>
    </row>
    <row r="52" spans="1:13" x14ac:dyDescent="0.25">
      <c r="A52" s="105"/>
      <c r="B52" s="92"/>
      <c r="C52" s="92" t="s">
        <v>139</v>
      </c>
      <c r="D52" s="105"/>
      <c r="E52" s="92"/>
      <c r="F52" s="105"/>
      <c r="G52" s="105"/>
      <c r="H52" s="92"/>
      <c r="I52" s="105"/>
      <c r="J52" s="114" t="s">
        <v>418</v>
      </c>
      <c r="K52" s="108"/>
      <c r="L52" s="108"/>
      <c r="M52" s="92"/>
    </row>
    <row r="53" spans="1:13" x14ac:dyDescent="0.25">
      <c r="A53" s="84">
        <v>19</v>
      </c>
      <c r="B53" s="91" t="s">
        <v>94</v>
      </c>
      <c r="C53" s="91" t="s">
        <v>169</v>
      </c>
      <c r="D53" s="84" t="s">
        <v>80</v>
      </c>
      <c r="E53" s="91" t="s">
        <v>20</v>
      </c>
      <c r="F53" s="84" t="s">
        <v>80</v>
      </c>
      <c r="G53" s="84" t="s">
        <v>80</v>
      </c>
      <c r="H53" s="91" t="s">
        <v>20</v>
      </c>
      <c r="I53" s="84" t="s">
        <v>80</v>
      </c>
      <c r="J53" s="93">
        <f>10080*12</f>
        <v>120960</v>
      </c>
      <c r="K53" s="93">
        <v>0</v>
      </c>
      <c r="L53" s="93">
        <v>0</v>
      </c>
      <c r="M53" s="102">
        <f>J53</f>
        <v>120960</v>
      </c>
    </row>
    <row r="54" spans="1:13" x14ac:dyDescent="0.25">
      <c r="A54" s="84"/>
      <c r="B54" s="91"/>
      <c r="C54" s="91"/>
      <c r="D54" s="84"/>
      <c r="E54" s="91"/>
      <c r="F54" s="84"/>
      <c r="G54" s="84"/>
      <c r="H54" s="91"/>
      <c r="I54" s="84"/>
      <c r="J54" s="168" t="s">
        <v>419</v>
      </c>
      <c r="K54" s="93"/>
      <c r="L54" s="93"/>
      <c r="M54" s="91"/>
    </row>
    <row r="55" spans="1:13" x14ac:dyDescent="0.25">
      <c r="A55" s="84"/>
      <c r="B55" s="101" t="s">
        <v>21</v>
      </c>
      <c r="C55" s="91"/>
      <c r="D55" s="84"/>
      <c r="E55" s="91"/>
      <c r="F55" s="84"/>
      <c r="G55" s="84" t="s">
        <v>192</v>
      </c>
      <c r="H55" s="91"/>
      <c r="I55" s="84"/>
      <c r="J55" s="93"/>
      <c r="K55" s="93"/>
      <c r="L55" s="93"/>
      <c r="M55" s="91"/>
    </row>
    <row r="56" spans="1:13" x14ac:dyDescent="0.25">
      <c r="A56" s="84">
        <v>20</v>
      </c>
      <c r="B56" s="261" t="s">
        <v>459</v>
      </c>
      <c r="C56" s="91" t="s">
        <v>460</v>
      </c>
      <c r="D56" s="84" t="s">
        <v>80</v>
      </c>
      <c r="E56" s="276" t="s">
        <v>22</v>
      </c>
      <c r="F56" s="84" t="s">
        <v>80</v>
      </c>
      <c r="G56" s="84" t="s">
        <v>80</v>
      </c>
      <c r="H56" s="276" t="s">
        <v>22</v>
      </c>
      <c r="I56" s="84" t="s">
        <v>80</v>
      </c>
      <c r="J56" s="93">
        <f>9000*12</f>
        <v>108000</v>
      </c>
      <c r="K56" s="93">
        <v>0</v>
      </c>
      <c r="L56" s="93">
        <v>0</v>
      </c>
      <c r="M56" s="270">
        <f>J56</f>
        <v>108000</v>
      </c>
    </row>
    <row r="57" spans="1:13" x14ac:dyDescent="0.25">
      <c r="A57" s="275"/>
      <c r="B57" s="268"/>
      <c r="C57" s="91" t="s">
        <v>461</v>
      </c>
      <c r="D57" s="268"/>
      <c r="E57" s="268"/>
      <c r="F57" s="268"/>
      <c r="G57" s="268"/>
      <c r="H57" s="268"/>
      <c r="I57" s="268"/>
      <c r="J57" s="275" t="s">
        <v>222</v>
      </c>
      <c r="K57" s="268"/>
      <c r="L57" s="268"/>
      <c r="M57" s="275"/>
    </row>
    <row r="58" spans="1:13" x14ac:dyDescent="0.25">
      <c r="A58" s="94">
        <v>21</v>
      </c>
      <c r="B58" s="259" t="s">
        <v>462</v>
      </c>
      <c r="C58" s="95" t="s">
        <v>228</v>
      </c>
      <c r="D58" s="94" t="s">
        <v>80</v>
      </c>
      <c r="E58" s="95" t="s">
        <v>23</v>
      </c>
      <c r="F58" s="94" t="s">
        <v>80</v>
      </c>
      <c r="G58" s="94" t="s">
        <v>80</v>
      </c>
      <c r="H58" s="95" t="s">
        <v>23</v>
      </c>
      <c r="I58" s="94" t="s">
        <v>80</v>
      </c>
      <c r="J58" s="96">
        <f>9000*12</f>
        <v>108000</v>
      </c>
      <c r="K58" s="96">
        <v>0</v>
      </c>
      <c r="L58" s="96">
        <v>0</v>
      </c>
      <c r="M58" s="238">
        <f>J58</f>
        <v>108000</v>
      </c>
    </row>
    <row r="59" spans="1:13" x14ac:dyDescent="0.25">
      <c r="A59" s="105"/>
      <c r="B59" s="279"/>
      <c r="C59" s="92"/>
      <c r="D59" s="105"/>
      <c r="E59" s="92"/>
      <c r="F59" s="105"/>
      <c r="G59" s="105"/>
      <c r="H59" s="92"/>
      <c r="I59" s="105"/>
      <c r="J59" s="257" t="s">
        <v>222</v>
      </c>
      <c r="K59" s="108"/>
      <c r="L59" s="108"/>
      <c r="M59" s="92"/>
    </row>
    <row r="60" spans="1:13" s="233" customFormat="1" x14ac:dyDescent="0.25">
      <c r="A60" s="84">
        <v>22</v>
      </c>
      <c r="B60" s="235" t="s">
        <v>168</v>
      </c>
      <c r="C60" s="91" t="s">
        <v>228</v>
      </c>
      <c r="D60" s="84" t="s">
        <v>80</v>
      </c>
      <c r="E60" s="91" t="s">
        <v>303</v>
      </c>
      <c r="F60" s="84" t="s">
        <v>80</v>
      </c>
      <c r="G60" s="84" t="s">
        <v>80</v>
      </c>
      <c r="H60" s="91" t="s">
        <v>303</v>
      </c>
      <c r="I60" s="84" t="s">
        <v>80</v>
      </c>
      <c r="J60" s="93">
        <f>9000*12</f>
        <v>108000</v>
      </c>
      <c r="K60" s="93">
        <v>0</v>
      </c>
      <c r="L60" s="93">
        <v>0</v>
      </c>
      <c r="M60" s="102">
        <f>J60</f>
        <v>108000</v>
      </c>
    </row>
    <row r="61" spans="1:13" s="233" customFormat="1" x14ac:dyDescent="0.25">
      <c r="A61" s="269"/>
      <c r="B61" s="269"/>
      <c r="C61" s="269"/>
      <c r="D61" s="269"/>
      <c r="E61" s="269"/>
      <c r="F61" s="269"/>
      <c r="G61" s="269"/>
      <c r="H61" s="269"/>
      <c r="I61" s="269"/>
      <c r="J61" s="284" t="s">
        <v>222</v>
      </c>
      <c r="K61" s="269"/>
      <c r="L61" s="269"/>
      <c r="M61" s="269"/>
    </row>
    <row r="62" spans="1:13" s="233" customFormat="1" x14ac:dyDescent="0.25"/>
    <row r="63" spans="1:13" s="233" customFormat="1" x14ac:dyDescent="0.25"/>
    <row r="64" spans="1:13" s="233" customFormat="1" x14ac:dyDescent="0.25"/>
    <row r="65" spans="1:13" s="233" customFormat="1" x14ac:dyDescent="0.25"/>
    <row r="66" spans="1:13" s="233" customFormat="1" x14ac:dyDescent="0.25"/>
    <row r="67" spans="1:13" x14ac:dyDescent="0.25">
      <c r="A67" s="515" t="s">
        <v>1</v>
      </c>
      <c r="B67" s="515" t="s">
        <v>32</v>
      </c>
      <c r="C67" s="82" t="s">
        <v>33</v>
      </c>
      <c r="D67" s="518" t="s">
        <v>34</v>
      </c>
      <c r="E67" s="519"/>
      <c r="F67" s="519"/>
      <c r="G67" s="518" t="s">
        <v>35</v>
      </c>
      <c r="H67" s="519"/>
      <c r="I67" s="520"/>
      <c r="J67" s="521" t="s">
        <v>36</v>
      </c>
      <c r="K67" s="522"/>
      <c r="L67" s="523"/>
      <c r="M67" s="83"/>
    </row>
    <row r="68" spans="1:13" x14ac:dyDescent="0.25">
      <c r="A68" s="516"/>
      <c r="B68" s="516"/>
      <c r="C68" s="84" t="s">
        <v>37</v>
      </c>
      <c r="D68" s="515" t="s">
        <v>38</v>
      </c>
      <c r="E68" s="515" t="s">
        <v>39</v>
      </c>
      <c r="F68" s="515" t="s">
        <v>40</v>
      </c>
      <c r="G68" s="515" t="s">
        <v>38</v>
      </c>
      <c r="H68" s="515" t="s">
        <v>39</v>
      </c>
      <c r="I68" s="515" t="s">
        <v>40</v>
      </c>
      <c r="J68" s="515" t="s">
        <v>36</v>
      </c>
      <c r="K68" s="515" t="s">
        <v>41</v>
      </c>
      <c r="L68" s="82" t="s">
        <v>232</v>
      </c>
      <c r="M68" s="252" t="s">
        <v>42</v>
      </c>
    </row>
    <row r="69" spans="1:13" x14ac:dyDescent="0.25">
      <c r="A69" s="517"/>
      <c r="B69" s="517"/>
      <c r="C69" s="86"/>
      <c r="D69" s="517"/>
      <c r="E69" s="517"/>
      <c r="F69" s="517"/>
      <c r="G69" s="517"/>
      <c r="H69" s="517"/>
      <c r="I69" s="517"/>
      <c r="J69" s="517"/>
      <c r="K69" s="517"/>
      <c r="L69" s="87" t="s">
        <v>233</v>
      </c>
      <c r="M69" s="88"/>
    </row>
    <row r="70" spans="1:13" x14ac:dyDescent="0.25">
      <c r="A70" s="94"/>
      <c r="B70" s="239" t="s">
        <v>24</v>
      </c>
      <c r="C70" s="95"/>
      <c r="D70" s="95"/>
      <c r="E70" s="95"/>
      <c r="F70" s="95"/>
      <c r="G70" s="95"/>
      <c r="H70" s="95"/>
      <c r="I70" s="95"/>
      <c r="J70" s="96"/>
      <c r="K70" s="96"/>
      <c r="L70" s="96"/>
      <c r="M70" s="95"/>
    </row>
    <row r="71" spans="1:13" x14ac:dyDescent="0.25">
      <c r="A71" s="84"/>
      <c r="B71" s="111" t="s">
        <v>50</v>
      </c>
      <c r="C71" s="91"/>
      <c r="D71" s="91"/>
      <c r="E71" s="91"/>
      <c r="F71" s="91"/>
      <c r="G71" s="91"/>
      <c r="H71" s="91"/>
      <c r="I71" s="91"/>
      <c r="J71" s="93"/>
      <c r="K71" s="93"/>
      <c r="L71" s="93"/>
      <c r="M71" s="91"/>
    </row>
    <row r="72" spans="1:13" x14ac:dyDescent="0.25">
      <c r="A72" s="84">
        <v>23</v>
      </c>
      <c r="B72" s="91" t="s">
        <v>95</v>
      </c>
      <c r="C72" s="91" t="s">
        <v>319</v>
      </c>
      <c r="D72" s="91" t="s">
        <v>96</v>
      </c>
      <c r="E72" s="91" t="s">
        <v>25</v>
      </c>
      <c r="F72" s="84" t="s">
        <v>49</v>
      </c>
      <c r="G72" s="91" t="s">
        <v>96</v>
      </c>
      <c r="H72" s="91" t="s">
        <v>25</v>
      </c>
      <c r="I72" s="84" t="s">
        <v>49</v>
      </c>
      <c r="J72" s="425">
        <f>37960*12</f>
        <v>455520</v>
      </c>
      <c r="K72" s="93">
        <f>3500*12</f>
        <v>42000</v>
      </c>
      <c r="L72" s="93">
        <v>0</v>
      </c>
      <c r="M72" s="102">
        <f>SUM(J72:L72)</f>
        <v>497520</v>
      </c>
    </row>
    <row r="73" spans="1:13" x14ac:dyDescent="0.25">
      <c r="A73" s="105"/>
      <c r="B73" s="92"/>
      <c r="C73" s="92" t="s">
        <v>325</v>
      </c>
      <c r="D73" s="92"/>
      <c r="E73" s="92" t="s">
        <v>97</v>
      </c>
      <c r="F73" s="105"/>
      <c r="G73" s="92"/>
      <c r="H73" s="92" t="s">
        <v>97</v>
      </c>
      <c r="I73" s="105"/>
      <c r="J73" s="285" t="s">
        <v>421</v>
      </c>
      <c r="K73" s="285" t="s">
        <v>214</v>
      </c>
      <c r="L73" s="108"/>
      <c r="M73" s="92"/>
    </row>
    <row r="74" spans="1:13" x14ac:dyDescent="0.25">
      <c r="A74" s="94">
        <v>24</v>
      </c>
      <c r="B74" s="95" t="s">
        <v>224</v>
      </c>
      <c r="C74" s="95" t="s">
        <v>319</v>
      </c>
      <c r="D74" s="95" t="s">
        <v>99</v>
      </c>
      <c r="E74" s="95" t="s">
        <v>98</v>
      </c>
      <c r="F74" s="94" t="s">
        <v>56</v>
      </c>
      <c r="G74" s="95" t="s">
        <v>99</v>
      </c>
      <c r="H74" s="95" t="s">
        <v>98</v>
      </c>
      <c r="I74" s="94" t="s">
        <v>56</v>
      </c>
      <c r="J74" s="112">
        <f>29110*12</f>
        <v>349320</v>
      </c>
      <c r="K74" s="96">
        <v>0</v>
      </c>
      <c r="L74" s="96">
        <v>0</v>
      </c>
      <c r="M74" s="97">
        <f>J74</f>
        <v>349320</v>
      </c>
    </row>
    <row r="75" spans="1:13" x14ac:dyDescent="0.25">
      <c r="A75" s="84"/>
      <c r="B75" s="91"/>
      <c r="C75" s="91" t="s">
        <v>325</v>
      </c>
      <c r="D75" s="91"/>
      <c r="E75" s="91"/>
      <c r="F75" s="84"/>
      <c r="G75" s="91"/>
      <c r="H75" s="91"/>
      <c r="I75" s="84"/>
      <c r="J75" s="168" t="s">
        <v>422</v>
      </c>
      <c r="K75" s="93"/>
      <c r="L75" s="93"/>
      <c r="M75" s="102"/>
    </row>
    <row r="76" spans="1:13" x14ac:dyDescent="0.25">
      <c r="A76" s="94">
        <v>25</v>
      </c>
      <c r="B76" s="267" t="s">
        <v>423</v>
      </c>
      <c r="C76" s="95"/>
      <c r="D76" s="95" t="s">
        <v>101</v>
      </c>
      <c r="E76" s="95" t="s">
        <v>100</v>
      </c>
      <c r="F76" s="94" t="s">
        <v>392</v>
      </c>
      <c r="G76" s="95" t="s">
        <v>101</v>
      </c>
      <c r="H76" s="95" t="s">
        <v>100</v>
      </c>
      <c r="I76" s="94" t="s">
        <v>392</v>
      </c>
      <c r="J76" s="112">
        <f>((49480+9740)/2)*12</f>
        <v>355320</v>
      </c>
      <c r="K76" s="96">
        <v>0</v>
      </c>
      <c r="L76" s="96">
        <v>0</v>
      </c>
      <c r="M76" s="238" t="s">
        <v>217</v>
      </c>
    </row>
    <row r="77" spans="1:13" x14ac:dyDescent="0.25">
      <c r="A77" s="105"/>
      <c r="B77" s="260"/>
      <c r="C77" s="92"/>
      <c r="D77" s="92"/>
      <c r="E77" s="92"/>
      <c r="F77" s="105"/>
      <c r="G77" s="92"/>
      <c r="H77" s="92"/>
      <c r="I77" s="105"/>
      <c r="J77" s="426" t="s">
        <v>424</v>
      </c>
      <c r="K77" s="108"/>
      <c r="L77" s="108"/>
      <c r="M77" s="113"/>
    </row>
    <row r="78" spans="1:13" x14ac:dyDescent="0.25">
      <c r="A78" s="84">
        <v>26</v>
      </c>
      <c r="B78" s="91" t="s">
        <v>102</v>
      </c>
      <c r="C78" s="91" t="s">
        <v>207</v>
      </c>
      <c r="D78" s="91" t="s">
        <v>104</v>
      </c>
      <c r="E78" s="91" t="s">
        <v>103</v>
      </c>
      <c r="F78" s="84" t="s">
        <v>105</v>
      </c>
      <c r="G78" s="91" t="s">
        <v>104</v>
      </c>
      <c r="H78" s="91" t="s">
        <v>103</v>
      </c>
      <c r="I78" s="84" t="s">
        <v>105</v>
      </c>
      <c r="J78" s="129">
        <f>22920*12</f>
        <v>275040</v>
      </c>
      <c r="K78" s="93">
        <v>0</v>
      </c>
      <c r="L78" s="93">
        <v>0</v>
      </c>
      <c r="M78" s="102">
        <f>J78</f>
        <v>275040</v>
      </c>
    </row>
    <row r="79" spans="1:13" x14ac:dyDescent="0.25">
      <c r="A79" s="84"/>
      <c r="B79" s="91"/>
      <c r="C79" s="91" t="s">
        <v>325</v>
      </c>
      <c r="D79" s="91"/>
      <c r="E79" s="91"/>
      <c r="F79" s="84"/>
      <c r="G79" s="91"/>
      <c r="H79" s="91"/>
      <c r="I79" s="84"/>
      <c r="J79" s="168" t="s">
        <v>426</v>
      </c>
      <c r="K79" s="93"/>
      <c r="L79" s="93"/>
      <c r="M79" s="91"/>
    </row>
    <row r="80" spans="1:13" x14ac:dyDescent="0.25">
      <c r="A80" s="84">
        <v>27</v>
      </c>
      <c r="B80" s="267" t="s">
        <v>47</v>
      </c>
      <c r="C80" s="95"/>
      <c r="D80" s="95" t="s">
        <v>111</v>
      </c>
      <c r="E80" s="95" t="s">
        <v>103</v>
      </c>
      <c r="F80" s="237" t="s">
        <v>71</v>
      </c>
      <c r="G80" s="95" t="s">
        <v>111</v>
      </c>
      <c r="H80" s="95" t="s">
        <v>103</v>
      </c>
      <c r="I80" s="237" t="s">
        <v>71</v>
      </c>
      <c r="J80" s="112">
        <f>((8750+40900)/2)*12</f>
        <v>297900</v>
      </c>
      <c r="K80" s="96">
        <v>0</v>
      </c>
      <c r="L80" s="96">
        <v>0</v>
      </c>
      <c r="M80" s="238" t="s">
        <v>217</v>
      </c>
    </row>
    <row r="81" spans="1:15" x14ac:dyDescent="0.25">
      <c r="A81" s="84"/>
      <c r="B81" s="260"/>
      <c r="C81" s="92"/>
      <c r="D81" s="92"/>
      <c r="E81" s="92"/>
      <c r="F81" s="272"/>
      <c r="G81" s="92"/>
      <c r="H81" s="92"/>
      <c r="I81" s="272"/>
      <c r="J81" s="283" t="s">
        <v>218</v>
      </c>
      <c r="K81" s="108"/>
      <c r="L81" s="108"/>
      <c r="M81" s="105"/>
    </row>
    <row r="82" spans="1:15" x14ac:dyDescent="0.25">
      <c r="A82" s="94">
        <v>28</v>
      </c>
      <c r="B82" s="267" t="s">
        <v>47</v>
      </c>
      <c r="C82" s="95"/>
      <c r="D82" s="95" t="s">
        <v>107</v>
      </c>
      <c r="E82" s="95" t="s">
        <v>106</v>
      </c>
      <c r="F82" s="237" t="s">
        <v>71</v>
      </c>
      <c r="G82" s="95" t="s">
        <v>107</v>
      </c>
      <c r="H82" s="95" t="s">
        <v>106</v>
      </c>
      <c r="I82" s="237" t="s">
        <v>71</v>
      </c>
      <c r="J82" s="112">
        <f>((8750+40900)/2)*12</f>
        <v>297900</v>
      </c>
      <c r="K82" s="96">
        <v>0</v>
      </c>
      <c r="L82" s="96">
        <v>0</v>
      </c>
      <c r="M82" s="94" t="s">
        <v>217</v>
      </c>
    </row>
    <row r="83" spans="1:15" x14ac:dyDescent="0.25">
      <c r="A83" s="105"/>
      <c r="B83" s="260"/>
      <c r="C83" s="92"/>
      <c r="D83" s="92"/>
      <c r="E83" s="92"/>
      <c r="F83" s="272"/>
      <c r="G83" s="92"/>
      <c r="H83" s="92"/>
      <c r="I83" s="272"/>
      <c r="J83" s="283" t="s">
        <v>218</v>
      </c>
      <c r="K83" s="108"/>
      <c r="L83" s="108"/>
      <c r="M83" s="105"/>
    </row>
    <row r="84" spans="1:15" x14ac:dyDescent="0.25">
      <c r="A84" s="94">
        <v>29</v>
      </c>
      <c r="B84" s="95" t="s">
        <v>108</v>
      </c>
      <c r="C84" s="95" t="s">
        <v>207</v>
      </c>
      <c r="D84" s="95" t="s">
        <v>110</v>
      </c>
      <c r="E84" s="95" t="s">
        <v>109</v>
      </c>
      <c r="F84" s="94" t="s">
        <v>105</v>
      </c>
      <c r="G84" s="95" t="s">
        <v>110</v>
      </c>
      <c r="H84" s="95" t="s">
        <v>109</v>
      </c>
      <c r="I84" s="94" t="s">
        <v>105</v>
      </c>
      <c r="J84" s="112">
        <f>23820*12</f>
        <v>285840</v>
      </c>
      <c r="K84" s="96">
        <v>0</v>
      </c>
      <c r="L84" s="96">
        <v>0</v>
      </c>
      <c r="M84" s="238">
        <f>J84</f>
        <v>285840</v>
      </c>
    </row>
    <row r="85" spans="1:15" x14ac:dyDescent="0.25">
      <c r="A85" s="105"/>
      <c r="B85" s="92"/>
      <c r="C85" s="92" t="s">
        <v>318</v>
      </c>
      <c r="D85" s="92"/>
      <c r="E85" s="92"/>
      <c r="F85" s="105"/>
      <c r="G85" s="92"/>
      <c r="H85" s="92"/>
      <c r="I85" s="105"/>
      <c r="J85" s="114" t="s">
        <v>425</v>
      </c>
      <c r="K85" s="108"/>
      <c r="L85" s="108"/>
      <c r="M85" s="105"/>
    </row>
    <row r="86" spans="1:15" x14ac:dyDescent="0.25">
      <c r="A86" s="84"/>
      <c r="B86" s="101" t="s">
        <v>26</v>
      </c>
      <c r="C86" s="91"/>
      <c r="D86" s="91"/>
      <c r="E86" s="91"/>
      <c r="F86" s="91"/>
      <c r="G86" s="91"/>
      <c r="H86" s="91"/>
      <c r="I86" s="91"/>
      <c r="J86" s="93"/>
      <c r="K86" s="93"/>
      <c r="L86" s="93"/>
      <c r="M86" s="84"/>
    </row>
    <row r="87" spans="1:15" x14ac:dyDescent="0.25">
      <c r="A87" s="84">
        <v>30</v>
      </c>
      <c r="B87" s="91" t="s">
        <v>112</v>
      </c>
      <c r="C87" s="91" t="s">
        <v>90</v>
      </c>
      <c r="D87" s="84" t="s">
        <v>80</v>
      </c>
      <c r="E87" s="91" t="s">
        <v>109</v>
      </c>
      <c r="F87" s="84" t="s">
        <v>80</v>
      </c>
      <c r="G87" s="84" t="s">
        <v>113</v>
      </c>
      <c r="H87" s="91" t="s">
        <v>109</v>
      </c>
      <c r="I87" s="84" t="s">
        <v>80</v>
      </c>
      <c r="J87" s="129">
        <f>17880*12</f>
        <v>214560</v>
      </c>
      <c r="K87" s="93">
        <v>0</v>
      </c>
      <c r="L87" s="93">
        <v>0</v>
      </c>
      <c r="M87" s="270">
        <f>J87</f>
        <v>214560</v>
      </c>
    </row>
    <row r="88" spans="1:15" x14ac:dyDescent="0.25">
      <c r="A88" s="84"/>
      <c r="B88" s="91"/>
      <c r="C88" s="91" t="s">
        <v>325</v>
      </c>
      <c r="D88" s="84"/>
      <c r="E88" s="91"/>
      <c r="F88" s="84"/>
      <c r="G88" s="84"/>
      <c r="H88" s="91"/>
      <c r="I88" s="84"/>
      <c r="J88" s="168" t="s">
        <v>230</v>
      </c>
      <c r="K88" s="93"/>
      <c r="L88" s="93"/>
      <c r="M88" s="84"/>
    </row>
    <row r="89" spans="1:15" x14ac:dyDescent="0.25">
      <c r="A89" s="94"/>
      <c r="B89" s="239" t="s">
        <v>16</v>
      </c>
      <c r="C89" s="95"/>
      <c r="D89" s="95"/>
      <c r="E89" s="95"/>
      <c r="F89" s="95"/>
      <c r="G89" s="95"/>
      <c r="H89" s="95"/>
      <c r="I89" s="95"/>
      <c r="J89" s="104"/>
      <c r="K89" s="96"/>
      <c r="L89" s="96"/>
      <c r="M89" s="94"/>
    </row>
    <row r="90" spans="1:15" x14ac:dyDescent="0.25">
      <c r="A90" s="84">
        <v>31</v>
      </c>
      <c r="B90" s="91" t="s">
        <v>114</v>
      </c>
      <c r="C90" s="91" t="s">
        <v>90</v>
      </c>
      <c r="D90" s="84" t="s">
        <v>80</v>
      </c>
      <c r="E90" s="91" t="s">
        <v>162</v>
      </c>
      <c r="F90" s="84" t="s">
        <v>80</v>
      </c>
      <c r="G90" s="84" t="s">
        <v>80</v>
      </c>
      <c r="H90" s="91" t="s">
        <v>162</v>
      </c>
      <c r="I90" s="84" t="s">
        <v>80</v>
      </c>
      <c r="J90" s="129">
        <f>12970*12</f>
        <v>155640</v>
      </c>
      <c r="K90" s="93">
        <v>0</v>
      </c>
      <c r="L90" s="93">
        <v>0</v>
      </c>
      <c r="M90" s="270">
        <f>J90</f>
        <v>155640</v>
      </c>
    </row>
    <row r="91" spans="1:15" x14ac:dyDescent="0.25">
      <c r="A91" s="105"/>
      <c r="B91" s="92"/>
      <c r="C91" s="92" t="s">
        <v>325</v>
      </c>
      <c r="D91" s="105"/>
      <c r="E91" s="92"/>
      <c r="F91" s="105"/>
      <c r="G91" s="105"/>
      <c r="H91" s="92"/>
      <c r="I91" s="105"/>
      <c r="J91" s="114" t="s">
        <v>226</v>
      </c>
      <c r="K91" s="108"/>
      <c r="L91" s="108"/>
      <c r="M91" s="105"/>
    </row>
    <row r="92" spans="1:15" x14ac:dyDescent="0.25">
      <c r="A92" s="94">
        <v>32</v>
      </c>
      <c r="B92" s="95" t="s">
        <v>115</v>
      </c>
      <c r="C92" s="95" t="s">
        <v>90</v>
      </c>
      <c r="D92" s="94" t="s">
        <v>80</v>
      </c>
      <c r="E92" s="236" t="s">
        <v>184</v>
      </c>
      <c r="F92" s="94" t="s">
        <v>80</v>
      </c>
      <c r="G92" s="94" t="s">
        <v>80</v>
      </c>
      <c r="H92" s="236" t="s">
        <v>184</v>
      </c>
      <c r="I92" s="94" t="s">
        <v>80</v>
      </c>
      <c r="J92" s="112">
        <f>11290*12</f>
        <v>135480</v>
      </c>
      <c r="K92" s="96">
        <v>0</v>
      </c>
      <c r="L92" s="96">
        <v>0</v>
      </c>
      <c r="M92" s="238">
        <f>J92</f>
        <v>135480</v>
      </c>
    </row>
    <row r="93" spans="1:15" x14ac:dyDescent="0.25">
      <c r="A93" s="275"/>
      <c r="B93" s="268"/>
      <c r="C93" s="268" t="s">
        <v>318</v>
      </c>
      <c r="D93" s="268"/>
      <c r="E93" s="268"/>
      <c r="F93" s="268"/>
      <c r="G93" s="268"/>
      <c r="H93" s="268"/>
      <c r="I93" s="268"/>
      <c r="J93" s="275" t="s">
        <v>427</v>
      </c>
      <c r="K93" s="268"/>
      <c r="L93" s="268"/>
      <c r="M93" s="268"/>
      <c r="O93" s="156"/>
    </row>
    <row r="94" spans="1:15" x14ac:dyDescent="0.25">
      <c r="A94" s="207"/>
      <c r="B94" s="239" t="s">
        <v>27</v>
      </c>
      <c r="C94" s="95"/>
      <c r="D94" s="94"/>
      <c r="E94" s="94"/>
      <c r="F94" s="94"/>
      <c r="G94" s="94"/>
      <c r="H94" s="95"/>
      <c r="I94" s="94"/>
      <c r="J94" s="96"/>
      <c r="K94" s="96"/>
      <c r="L94" s="96"/>
      <c r="M94" s="94"/>
    </row>
    <row r="95" spans="1:15" x14ac:dyDescent="0.25">
      <c r="A95" s="275"/>
      <c r="B95" s="111" t="s">
        <v>50</v>
      </c>
      <c r="C95" s="91"/>
      <c r="D95" s="84"/>
      <c r="E95" s="84"/>
      <c r="F95" s="84"/>
      <c r="G95" s="84"/>
      <c r="H95" s="91"/>
      <c r="I95" s="84"/>
      <c r="J95" s="93"/>
      <c r="K95" s="93"/>
      <c r="L95" s="93"/>
      <c r="M95" s="84"/>
    </row>
    <row r="96" spans="1:15" x14ac:dyDescent="0.25">
      <c r="A96" s="275">
        <v>33</v>
      </c>
      <c r="B96" s="91" t="s">
        <v>116</v>
      </c>
      <c r="C96" s="91" t="s">
        <v>310</v>
      </c>
      <c r="D96" s="91" t="s">
        <v>117</v>
      </c>
      <c r="E96" s="91" t="s">
        <v>28</v>
      </c>
      <c r="F96" s="84" t="s">
        <v>49</v>
      </c>
      <c r="G96" s="91" t="s">
        <v>117</v>
      </c>
      <c r="H96" s="91" t="s">
        <v>28</v>
      </c>
      <c r="I96" s="84" t="s">
        <v>49</v>
      </c>
      <c r="J96" s="129">
        <f>33000*12</f>
        <v>396000</v>
      </c>
      <c r="K96" s="93">
        <f>3500*12</f>
        <v>42000</v>
      </c>
      <c r="L96" s="93">
        <v>0</v>
      </c>
      <c r="M96" s="102">
        <f>SUM(J96:L96)</f>
        <v>438000</v>
      </c>
    </row>
    <row r="97" spans="1:13" x14ac:dyDescent="0.25">
      <c r="A97" s="284"/>
      <c r="B97" s="86"/>
      <c r="C97" s="86" t="s">
        <v>326</v>
      </c>
      <c r="D97" s="86"/>
      <c r="E97" s="86" t="s">
        <v>118</v>
      </c>
      <c r="F97" s="87"/>
      <c r="G97" s="86"/>
      <c r="H97" s="86" t="s">
        <v>118</v>
      </c>
      <c r="I97" s="87"/>
      <c r="J97" s="430" t="s">
        <v>428</v>
      </c>
      <c r="K97" s="430" t="s">
        <v>214</v>
      </c>
      <c r="L97" s="431"/>
      <c r="M97" s="86"/>
    </row>
    <row r="100" spans="1:13" x14ac:dyDescent="0.25">
      <c r="A100" s="515" t="s">
        <v>1</v>
      </c>
      <c r="B100" s="515" t="s">
        <v>32</v>
      </c>
      <c r="C100" s="82" t="s">
        <v>33</v>
      </c>
      <c r="D100" s="518" t="s">
        <v>34</v>
      </c>
      <c r="E100" s="519"/>
      <c r="F100" s="519"/>
      <c r="G100" s="518" t="s">
        <v>35</v>
      </c>
      <c r="H100" s="519"/>
      <c r="I100" s="520"/>
      <c r="J100" s="521" t="s">
        <v>36</v>
      </c>
      <c r="K100" s="522"/>
      <c r="L100" s="523"/>
      <c r="M100" s="83"/>
    </row>
    <row r="101" spans="1:13" x14ac:dyDescent="0.25">
      <c r="A101" s="516"/>
      <c r="B101" s="516"/>
      <c r="C101" s="84" t="s">
        <v>37</v>
      </c>
      <c r="D101" s="515" t="s">
        <v>38</v>
      </c>
      <c r="E101" s="515" t="s">
        <v>39</v>
      </c>
      <c r="F101" s="515" t="s">
        <v>40</v>
      </c>
      <c r="G101" s="515" t="s">
        <v>38</v>
      </c>
      <c r="H101" s="515" t="s">
        <v>39</v>
      </c>
      <c r="I101" s="515" t="s">
        <v>40</v>
      </c>
      <c r="J101" s="515" t="s">
        <v>36</v>
      </c>
      <c r="K101" s="515" t="s">
        <v>41</v>
      </c>
      <c r="L101" s="82" t="s">
        <v>232</v>
      </c>
      <c r="M101" s="205" t="s">
        <v>42</v>
      </c>
    </row>
    <row r="102" spans="1:13" x14ac:dyDescent="0.25">
      <c r="A102" s="517"/>
      <c r="B102" s="517"/>
      <c r="C102" s="86"/>
      <c r="D102" s="517"/>
      <c r="E102" s="517"/>
      <c r="F102" s="517"/>
      <c r="G102" s="517"/>
      <c r="H102" s="517"/>
      <c r="I102" s="517"/>
      <c r="J102" s="517"/>
      <c r="K102" s="517"/>
      <c r="L102" s="87" t="s">
        <v>233</v>
      </c>
      <c r="M102" s="88"/>
    </row>
    <row r="103" spans="1:13" x14ac:dyDescent="0.25">
      <c r="A103" s="82"/>
      <c r="B103" s="349" t="s">
        <v>27</v>
      </c>
      <c r="C103" s="361"/>
      <c r="D103" s="361"/>
      <c r="E103" s="361"/>
      <c r="F103" s="361"/>
      <c r="G103" s="361"/>
      <c r="H103" s="361"/>
      <c r="I103" s="361"/>
      <c r="J103" s="361"/>
      <c r="K103" s="361"/>
      <c r="L103" s="361"/>
      <c r="M103" s="361"/>
    </row>
    <row r="104" spans="1:13" x14ac:dyDescent="0.25">
      <c r="A104" s="84"/>
      <c r="B104" s="111" t="s">
        <v>50</v>
      </c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</row>
    <row r="105" spans="1:13" x14ac:dyDescent="0.25">
      <c r="A105" s="84">
        <v>34</v>
      </c>
      <c r="B105" s="91" t="s">
        <v>126</v>
      </c>
      <c r="C105" s="235" t="s">
        <v>207</v>
      </c>
      <c r="D105" s="91" t="s">
        <v>127</v>
      </c>
      <c r="E105" s="91" t="s">
        <v>76</v>
      </c>
      <c r="F105" s="84" t="s">
        <v>77</v>
      </c>
      <c r="G105" s="91" t="s">
        <v>127</v>
      </c>
      <c r="H105" s="91" t="s">
        <v>76</v>
      </c>
      <c r="I105" s="84" t="s">
        <v>77</v>
      </c>
      <c r="J105" s="129">
        <f>18190*12</f>
        <v>218280</v>
      </c>
      <c r="K105" s="93">
        <v>0</v>
      </c>
      <c r="L105" s="93">
        <v>0</v>
      </c>
      <c r="M105" s="102">
        <f>J105</f>
        <v>218280</v>
      </c>
    </row>
    <row r="106" spans="1:13" x14ac:dyDescent="0.25">
      <c r="A106" s="105"/>
      <c r="B106" s="92"/>
      <c r="C106" s="106" t="s">
        <v>325</v>
      </c>
      <c r="D106" s="92"/>
      <c r="E106" s="92"/>
      <c r="F106" s="105"/>
      <c r="G106" s="92"/>
      <c r="H106" s="92"/>
      <c r="I106" s="105"/>
      <c r="J106" s="114" t="s">
        <v>429</v>
      </c>
      <c r="K106" s="108"/>
      <c r="L106" s="108"/>
      <c r="M106" s="92"/>
    </row>
    <row r="107" spans="1:13" x14ac:dyDescent="0.25">
      <c r="A107" s="94">
        <v>35</v>
      </c>
      <c r="B107" s="259" t="s">
        <v>204</v>
      </c>
      <c r="C107" s="95" t="s">
        <v>207</v>
      </c>
      <c r="D107" s="95" t="s">
        <v>120</v>
      </c>
      <c r="E107" s="95" t="s">
        <v>119</v>
      </c>
      <c r="F107" s="94" t="s">
        <v>77</v>
      </c>
      <c r="G107" s="95" t="s">
        <v>120</v>
      </c>
      <c r="H107" s="95" t="s">
        <v>119</v>
      </c>
      <c r="I107" s="94" t="s">
        <v>77</v>
      </c>
      <c r="J107" s="112">
        <f>13230*12</f>
        <v>158760</v>
      </c>
      <c r="K107" s="96">
        <v>0</v>
      </c>
      <c r="L107" s="96">
        <v>0</v>
      </c>
      <c r="M107" s="97">
        <f>J107</f>
        <v>158760</v>
      </c>
    </row>
    <row r="108" spans="1:13" x14ac:dyDescent="0.25">
      <c r="A108" s="105"/>
      <c r="B108" s="260"/>
      <c r="C108" s="92" t="s">
        <v>327</v>
      </c>
      <c r="D108" s="92"/>
      <c r="E108" s="92"/>
      <c r="F108" s="105"/>
      <c r="G108" s="92"/>
      <c r="H108" s="92"/>
      <c r="I108" s="105"/>
      <c r="J108" s="114" t="s">
        <v>430</v>
      </c>
      <c r="K108" s="108"/>
      <c r="L108" s="108"/>
      <c r="M108" s="113"/>
    </row>
    <row r="109" spans="1:13" x14ac:dyDescent="0.25">
      <c r="A109" s="84">
        <v>36</v>
      </c>
      <c r="B109" s="235" t="s">
        <v>121</v>
      </c>
      <c r="C109" s="91" t="s">
        <v>329</v>
      </c>
      <c r="D109" s="91" t="s">
        <v>122</v>
      </c>
      <c r="E109" s="91" t="s">
        <v>119</v>
      </c>
      <c r="F109" s="273" t="s">
        <v>105</v>
      </c>
      <c r="G109" s="91" t="s">
        <v>122</v>
      </c>
      <c r="H109" s="91" t="s">
        <v>119</v>
      </c>
      <c r="I109" s="273" t="s">
        <v>105</v>
      </c>
      <c r="J109" s="129">
        <f>25190*12</f>
        <v>302280</v>
      </c>
      <c r="K109" s="93">
        <v>0</v>
      </c>
      <c r="L109" s="93">
        <v>0</v>
      </c>
      <c r="M109" s="270">
        <f>J109</f>
        <v>302280</v>
      </c>
    </row>
    <row r="110" spans="1:13" x14ac:dyDescent="0.25">
      <c r="A110" s="84"/>
      <c r="B110" s="235"/>
      <c r="C110" s="91" t="s">
        <v>326</v>
      </c>
      <c r="D110" s="91"/>
      <c r="E110" s="91"/>
      <c r="F110" s="273"/>
      <c r="G110" s="91"/>
      <c r="H110" s="91"/>
      <c r="I110" s="273"/>
      <c r="J110" s="168" t="s">
        <v>431</v>
      </c>
      <c r="K110" s="93"/>
      <c r="L110" s="93"/>
      <c r="M110" s="270"/>
    </row>
    <row r="111" spans="1:13" x14ac:dyDescent="0.25">
      <c r="A111" s="94">
        <v>37</v>
      </c>
      <c r="B111" s="259" t="s">
        <v>205</v>
      </c>
      <c r="C111" s="95" t="s">
        <v>207</v>
      </c>
      <c r="D111" s="95" t="s">
        <v>125</v>
      </c>
      <c r="E111" s="95" t="s">
        <v>124</v>
      </c>
      <c r="F111" s="237" t="s">
        <v>77</v>
      </c>
      <c r="G111" s="95" t="s">
        <v>125</v>
      </c>
      <c r="H111" s="95" t="s">
        <v>124</v>
      </c>
      <c r="I111" s="237" t="s">
        <v>77</v>
      </c>
      <c r="J111" s="112">
        <f>11700*12</f>
        <v>140400</v>
      </c>
      <c r="K111" s="96">
        <v>0</v>
      </c>
      <c r="L111" s="96">
        <v>0</v>
      </c>
      <c r="M111" s="238">
        <f>J111</f>
        <v>140400</v>
      </c>
    </row>
    <row r="112" spans="1:13" x14ac:dyDescent="0.25">
      <c r="A112" s="105"/>
      <c r="B112" s="260"/>
      <c r="C112" s="92" t="s">
        <v>328</v>
      </c>
      <c r="D112" s="92"/>
      <c r="E112" s="92"/>
      <c r="F112" s="272"/>
      <c r="G112" s="92"/>
      <c r="H112" s="92"/>
      <c r="I112" s="272"/>
      <c r="J112" s="114" t="s">
        <v>413</v>
      </c>
      <c r="K112" s="108"/>
      <c r="L112" s="108"/>
      <c r="M112" s="105"/>
    </row>
    <row r="113" spans="1:25" x14ac:dyDescent="0.25">
      <c r="A113" s="94">
        <v>38</v>
      </c>
      <c r="B113" s="267" t="s">
        <v>47</v>
      </c>
      <c r="C113" s="95"/>
      <c r="D113" s="95" t="s">
        <v>123</v>
      </c>
      <c r="E113" s="95" t="s">
        <v>372</v>
      </c>
      <c r="F113" s="237" t="s">
        <v>71</v>
      </c>
      <c r="G113" s="95" t="s">
        <v>123</v>
      </c>
      <c r="H113" s="95" t="s">
        <v>372</v>
      </c>
      <c r="I113" s="237" t="s">
        <v>71</v>
      </c>
      <c r="J113" s="112">
        <f>((8750+40900)/2)*12</f>
        <v>297900</v>
      </c>
      <c r="K113" s="96">
        <v>0</v>
      </c>
      <c r="L113" s="96">
        <v>0</v>
      </c>
      <c r="M113" s="94" t="s">
        <v>217</v>
      </c>
    </row>
    <row r="114" spans="1:25" x14ac:dyDescent="0.25">
      <c r="A114" s="105"/>
      <c r="B114" s="279"/>
      <c r="C114" s="92"/>
      <c r="D114" s="92"/>
      <c r="E114" s="92"/>
      <c r="F114" s="272"/>
      <c r="G114" s="92"/>
      <c r="H114" s="92"/>
      <c r="I114" s="272"/>
      <c r="J114" s="283" t="s">
        <v>218</v>
      </c>
      <c r="K114" s="108"/>
      <c r="L114" s="108"/>
      <c r="M114" s="105"/>
    </row>
    <row r="115" spans="1:25" x14ac:dyDescent="0.25">
      <c r="A115" s="84"/>
      <c r="B115" s="111" t="s">
        <v>220</v>
      </c>
      <c r="C115" s="84"/>
      <c r="D115" s="91"/>
      <c r="E115" s="91"/>
      <c r="F115" s="84"/>
      <c r="G115" s="91"/>
      <c r="H115" s="91"/>
      <c r="I115" s="84"/>
      <c r="J115" s="93"/>
      <c r="K115" s="93"/>
      <c r="L115" s="93"/>
      <c r="M115" s="91"/>
    </row>
    <row r="116" spans="1:25" x14ac:dyDescent="0.25">
      <c r="A116" s="84">
        <v>39</v>
      </c>
      <c r="B116" s="91" t="s">
        <v>128</v>
      </c>
      <c r="C116" s="235" t="s">
        <v>207</v>
      </c>
      <c r="D116" s="84" t="s">
        <v>80</v>
      </c>
      <c r="E116" s="91" t="s">
        <v>164</v>
      </c>
      <c r="F116" s="84" t="s">
        <v>80</v>
      </c>
      <c r="G116" s="84" t="s">
        <v>80</v>
      </c>
      <c r="H116" s="91" t="s">
        <v>164</v>
      </c>
      <c r="I116" s="84" t="s">
        <v>80</v>
      </c>
      <c r="J116" s="168">
        <f>15250*12</f>
        <v>183000</v>
      </c>
      <c r="K116" s="93">
        <v>0</v>
      </c>
      <c r="L116" s="93">
        <v>0</v>
      </c>
      <c r="M116" s="102">
        <f>J116</f>
        <v>183000</v>
      </c>
    </row>
    <row r="117" spans="1:25" x14ac:dyDescent="0.25">
      <c r="A117" s="84"/>
      <c r="B117" s="91"/>
      <c r="C117" s="106" t="s">
        <v>330</v>
      </c>
      <c r="D117" s="84"/>
      <c r="E117" s="91"/>
      <c r="F117" s="84"/>
      <c r="G117" s="84"/>
      <c r="H117" s="91"/>
      <c r="I117" s="84"/>
      <c r="J117" s="168" t="s">
        <v>432</v>
      </c>
      <c r="K117" s="93"/>
      <c r="L117" s="93"/>
      <c r="M117" s="91"/>
    </row>
    <row r="118" spans="1:25" x14ac:dyDescent="0.25">
      <c r="A118" s="94">
        <v>40</v>
      </c>
      <c r="B118" s="95" t="s">
        <v>231</v>
      </c>
      <c r="C118" s="91" t="s">
        <v>329</v>
      </c>
      <c r="D118" s="94" t="s">
        <v>80</v>
      </c>
      <c r="E118" s="95" t="s">
        <v>171</v>
      </c>
      <c r="F118" s="94" t="s">
        <v>80</v>
      </c>
      <c r="G118" s="94" t="s">
        <v>80</v>
      </c>
      <c r="H118" s="95" t="s">
        <v>163</v>
      </c>
      <c r="I118" s="94" t="s">
        <v>80</v>
      </c>
      <c r="J118" s="189">
        <f>11680*12</f>
        <v>140160</v>
      </c>
      <c r="K118" s="96">
        <v>0</v>
      </c>
      <c r="L118" s="96">
        <v>0</v>
      </c>
      <c r="M118" s="97">
        <f>J118</f>
        <v>140160</v>
      </c>
    </row>
    <row r="119" spans="1:25" x14ac:dyDescent="0.25">
      <c r="A119" s="105"/>
      <c r="B119" s="92"/>
      <c r="C119" s="105" t="s">
        <v>331</v>
      </c>
      <c r="D119" s="105"/>
      <c r="E119" s="92"/>
      <c r="F119" s="105"/>
      <c r="G119" s="105"/>
      <c r="H119" s="92"/>
      <c r="I119" s="105"/>
      <c r="J119" s="114" t="s">
        <v>433</v>
      </c>
      <c r="K119" s="108"/>
      <c r="L119" s="108"/>
      <c r="M119" s="92"/>
    </row>
    <row r="120" spans="1:25" x14ac:dyDescent="0.25">
      <c r="A120" s="84">
        <v>41</v>
      </c>
      <c r="B120" s="261" t="s">
        <v>206</v>
      </c>
      <c r="C120" s="84" t="s">
        <v>207</v>
      </c>
      <c r="D120" s="84" t="s">
        <v>80</v>
      </c>
      <c r="E120" s="235" t="s">
        <v>172</v>
      </c>
      <c r="F120" s="84" t="s">
        <v>80</v>
      </c>
      <c r="G120" s="84" t="s">
        <v>80</v>
      </c>
      <c r="H120" s="235" t="s">
        <v>172</v>
      </c>
      <c r="I120" s="256">
        <v>0</v>
      </c>
      <c r="J120" s="93">
        <f>12380*12</f>
        <v>148560</v>
      </c>
      <c r="K120" s="93">
        <v>0</v>
      </c>
      <c r="L120" s="93">
        <v>0</v>
      </c>
      <c r="M120" s="270">
        <f>J120</f>
        <v>148560</v>
      </c>
    </row>
    <row r="121" spans="1:25" x14ac:dyDescent="0.25">
      <c r="A121" s="84"/>
      <c r="B121" s="261"/>
      <c r="C121" s="84" t="s">
        <v>332</v>
      </c>
      <c r="D121" s="84"/>
      <c r="E121" s="235"/>
      <c r="F121" s="84"/>
      <c r="G121" s="84"/>
      <c r="H121" s="235"/>
      <c r="I121" s="256"/>
      <c r="J121" s="256" t="s">
        <v>416</v>
      </c>
      <c r="K121" s="93"/>
      <c r="L121" s="93"/>
      <c r="M121" s="84"/>
    </row>
    <row r="122" spans="1:25" x14ac:dyDescent="0.25">
      <c r="A122" s="94"/>
      <c r="B122" s="239" t="s">
        <v>219</v>
      </c>
      <c r="C122" s="95"/>
      <c r="D122" s="95"/>
      <c r="E122" s="95"/>
      <c r="F122" s="95"/>
      <c r="G122" s="95"/>
      <c r="H122" s="95"/>
      <c r="I122" s="94"/>
      <c r="J122" s="212"/>
      <c r="K122" s="212"/>
      <c r="L122" s="212"/>
      <c r="M122" s="94"/>
    </row>
    <row r="123" spans="1:25" x14ac:dyDescent="0.25">
      <c r="A123" s="84">
        <v>42</v>
      </c>
      <c r="B123" s="91" t="s">
        <v>129</v>
      </c>
      <c r="C123" s="84" t="s">
        <v>88</v>
      </c>
      <c r="D123" s="84" t="s">
        <v>80</v>
      </c>
      <c r="E123" s="91" t="s">
        <v>30</v>
      </c>
      <c r="F123" s="84" t="s">
        <v>80</v>
      </c>
      <c r="G123" s="84" t="s">
        <v>80</v>
      </c>
      <c r="H123" s="91" t="s">
        <v>30</v>
      </c>
      <c r="I123" s="84" t="s">
        <v>80</v>
      </c>
      <c r="J123" s="168">
        <f>12800*12</f>
        <v>153600</v>
      </c>
      <c r="K123" s="115">
        <v>0</v>
      </c>
      <c r="L123" s="115">
        <v>0</v>
      </c>
      <c r="M123" s="270">
        <f>J123</f>
        <v>153600</v>
      </c>
    </row>
    <row r="124" spans="1:25" x14ac:dyDescent="0.25">
      <c r="A124" s="105"/>
      <c r="B124" s="92"/>
      <c r="C124" s="105" t="s">
        <v>309</v>
      </c>
      <c r="D124" s="105"/>
      <c r="E124" s="92"/>
      <c r="F124" s="105"/>
      <c r="G124" s="105"/>
      <c r="H124" s="92"/>
      <c r="I124" s="105"/>
      <c r="J124" s="114" t="s">
        <v>434</v>
      </c>
      <c r="K124" s="116"/>
      <c r="L124" s="116"/>
      <c r="M124" s="105"/>
    </row>
    <row r="125" spans="1:25" x14ac:dyDescent="0.25">
      <c r="A125" s="94">
        <v>43</v>
      </c>
      <c r="B125" s="95" t="s">
        <v>130</v>
      </c>
      <c r="C125" s="94" t="s">
        <v>169</v>
      </c>
      <c r="D125" s="94" t="s">
        <v>80</v>
      </c>
      <c r="E125" s="95" t="s">
        <v>30</v>
      </c>
      <c r="F125" s="94" t="s">
        <v>80</v>
      </c>
      <c r="G125" s="94" t="s">
        <v>80</v>
      </c>
      <c r="H125" s="95" t="s">
        <v>30</v>
      </c>
      <c r="I125" s="94" t="s">
        <v>80</v>
      </c>
      <c r="J125" s="189">
        <f>11350*12</f>
        <v>136200</v>
      </c>
      <c r="K125" s="212">
        <v>0</v>
      </c>
      <c r="L125" s="212">
        <v>0</v>
      </c>
      <c r="M125" s="238">
        <f>J125</f>
        <v>136200</v>
      </c>
      <c r="N125" s="281"/>
      <c r="O125" s="233"/>
      <c r="P125" s="233"/>
      <c r="Q125" s="233"/>
      <c r="R125" s="233"/>
      <c r="S125" s="233"/>
      <c r="T125" s="233"/>
      <c r="U125" s="233"/>
      <c r="V125" s="233"/>
      <c r="W125" s="233"/>
      <c r="X125" s="233"/>
      <c r="Y125" s="233"/>
    </row>
    <row r="126" spans="1:25" x14ac:dyDescent="0.25">
      <c r="A126" s="84"/>
      <c r="B126" s="91"/>
      <c r="C126" s="84"/>
      <c r="D126" s="84"/>
      <c r="E126" s="91"/>
      <c r="F126" s="84"/>
      <c r="G126" s="84"/>
      <c r="H126" s="91"/>
      <c r="I126" s="84"/>
      <c r="J126" s="168" t="s">
        <v>435</v>
      </c>
      <c r="K126" s="115"/>
      <c r="L126" s="115"/>
      <c r="M126" s="84"/>
      <c r="N126" s="281"/>
      <c r="O126" s="233"/>
      <c r="P126" s="233"/>
      <c r="Q126" s="233"/>
      <c r="R126" s="233"/>
      <c r="S126" s="233"/>
      <c r="T126" s="233"/>
      <c r="U126" s="233"/>
      <c r="V126" s="233"/>
      <c r="W126" s="233"/>
      <c r="X126" s="233"/>
      <c r="Y126" s="233"/>
    </row>
    <row r="127" spans="1:25" s="286" customFormat="1" x14ac:dyDescent="0.25">
      <c r="A127" s="94">
        <v>44</v>
      </c>
      <c r="B127" s="95" t="s">
        <v>93</v>
      </c>
      <c r="C127" s="95" t="s">
        <v>207</v>
      </c>
      <c r="D127" s="94" t="s">
        <v>80</v>
      </c>
      <c r="E127" s="278" t="s">
        <v>22</v>
      </c>
      <c r="F127" s="94" t="s">
        <v>80</v>
      </c>
      <c r="G127" s="94" t="s">
        <v>80</v>
      </c>
      <c r="H127" s="278" t="s">
        <v>22</v>
      </c>
      <c r="I127" s="94" t="s">
        <v>80</v>
      </c>
      <c r="J127" s="96">
        <f>10030*12</f>
        <v>120360</v>
      </c>
      <c r="K127" s="96">
        <v>0</v>
      </c>
      <c r="L127" s="96">
        <v>0</v>
      </c>
      <c r="M127" s="97">
        <f>J127</f>
        <v>120360</v>
      </c>
      <c r="N127" s="233"/>
      <c r="O127" s="233"/>
      <c r="P127" s="233"/>
      <c r="Q127" s="233"/>
      <c r="R127" s="233"/>
      <c r="S127" s="233"/>
      <c r="T127" s="233"/>
      <c r="U127" s="233"/>
      <c r="V127" s="233"/>
      <c r="W127" s="233"/>
      <c r="X127" s="233"/>
      <c r="Y127" s="233"/>
    </row>
    <row r="128" spans="1:25" s="233" customFormat="1" x14ac:dyDescent="0.25">
      <c r="A128" s="87"/>
      <c r="B128" s="86"/>
      <c r="C128" s="86" t="s">
        <v>324</v>
      </c>
      <c r="D128" s="87"/>
      <c r="E128" s="86"/>
      <c r="F128" s="87"/>
      <c r="G128" s="87"/>
      <c r="H128" s="86"/>
      <c r="I128" s="87"/>
      <c r="J128" s="400" t="s">
        <v>420</v>
      </c>
      <c r="K128" s="431"/>
      <c r="L128" s="431"/>
      <c r="M128" s="86"/>
    </row>
    <row r="129" spans="1:13" s="233" customFormat="1" x14ac:dyDescent="0.25">
      <c r="A129" s="429"/>
      <c r="B129" s="110"/>
      <c r="C129" s="110"/>
      <c r="D129" s="429"/>
      <c r="E129" s="110"/>
      <c r="F129" s="429"/>
      <c r="G129" s="429"/>
      <c r="H129" s="110"/>
      <c r="I129" s="429"/>
      <c r="J129" s="287"/>
      <c r="K129" s="432"/>
      <c r="L129" s="432"/>
      <c r="M129" s="110"/>
    </row>
    <row r="130" spans="1:13" s="233" customFormat="1" x14ac:dyDescent="0.25">
      <c r="A130" s="429"/>
      <c r="B130" s="110"/>
      <c r="C130" s="110"/>
      <c r="D130" s="429"/>
      <c r="E130" s="110"/>
      <c r="F130" s="429"/>
      <c r="G130" s="429"/>
      <c r="H130" s="110"/>
      <c r="I130" s="429"/>
      <c r="J130" s="287"/>
      <c r="K130" s="432"/>
      <c r="L130" s="432"/>
      <c r="M130" s="110"/>
    </row>
    <row r="131" spans="1:13" s="233" customFormat="1" x14ac:dyDescent="0.25">
      <c r="A131" s="429"/>
      <c r="B131" s="110"/>
      <c r="C131" s="110"/>
      <c r="D131" s="429"/>
      <c r="E131" s="110"/>
      <c r="F131" s="429"/>
      <c r="G131" s="429"/>
      <c r="H131" s="110"/>
      <c r="I131" s="429"/>
      <c r="J131" s="287"/>
      <c r="K131" s="432"/>
      <c r="L131" s="432"/>
      <c r="M131" s="110"/>
    </row>
    <row r="132" spans="1:13" s="233" customFormat="1" x14ac:dyDescent="0.25">
      <c r="A132" s="429"/>
      <c r="B132" s="110"/>
      <c r="C132" s="110"/>
      <c r="D132" s="429"/>
      <c r="E132" s="110"/>
      <c r="F132" s="429"/>
      <c r="G132" s="429"/>
      <c r="H132" s="110"/>
      <c r="I132" s="429"/>
      <c r="J132" s="287"/>
      <c r="K132" s="432"/>
      <c r="L132" s="432"/>
      <c r="M132" s="110"/>
    </row>
    <row r="133" spans="1:13" s="233" customFormat="1" x14ac:dyDescent="0.25">
      <c r="A133" s="253"/>
      <c r="B133" s="110"/>
      <c r="C133" s="253"/>
      <c r="D133" s="253"/>
      <c r="E133" s="110"/>
      <c r="F133" s="253"/>
      <c r="G133" s="253"/>
      <c r="H133" s="110"/>
      <c r="I133" s="253"/>
      <c r="J133" s="287"/>
      <c r="K133" s="288"/>
      <c r="L133" s="288"/>
      <c r="M133" s="253"/>
    </row>
    <row r="134" spans="1:13" s="233" customFormat="1" x14ac:dyDescent="0.25">
      <c r="A134" s="253"/>
      <c r="B134" s="110"/>
      <c r="C134" s="253"/>
      <c r="D134" s="253"/>
      <c r="E134" s="110"/>
      <c r="F134" s="253"/>
      <c r="G134" s="253"/>
      <c r="H134" s="110"/>
      <c r="I134" s="253"/>
      <c r="J134" s="287"/>
      <c r="K134" s="288"/>
      <c r="L134" s="288"/>
      <c r="M134" s="253"/>
    </row>
    <row r="135" spans="1:13" s="233" customFormat="1" x14ac:dyDescent="0.25">
      <c r="A135" s="515" t="s">
        <v>1</v>
      </c>
      <c r="B135" s="515" t="s">
        <v>32</v>
      </c>
      <c r="C135" s="82" t="s">
        <v>33</v>
      </c>
      <c r="D135" s="518" t="s">
        <v>34</v>
      </c>
      <c r="E135" s="519"/>
      <c r="F135" s="519"/>
      <c r="G135" s="518" t="s">
        <v>35</v>
      </c>
      <c r="H135" s="519"/>
      <c r="I135" s="520"/>
      <c r="J135" s="521" t="s">
        <v>36</v>
      </c>
      <c r="K135" s="522"/>
      <c r="L135" s="523"/>
      <c r="M135" s="83"/>
    </row>
    <row r="136" spans="1:13" s="233" customFormat="1" x14ac:dyDescent="0.25">
      <c r="A136" s="516"/>
      <c r="B136" s="516"/>
      <c r="C136" s="84" t="s">
        <v>37</v>
      </c>
      <c r="D136" s="515" t="s">
        <v>38</v>
      </c>
      <c r="E136" s="515" t="s">
        <v>39</v>
      </c>
      <c r="F136" s="515" t="s">
        <v>40</v>
      </c>
      <c r="G136" s="515" t="s">
        <v>38</v>
      </c>
      <c r="H136" s="515" t="s">
        <v>39</v>
      </c>
      <c r="I136" s="515" t="s">
        <v>40</v>
      </c>
      <c r="J136" s="515" t="s">
        <v>36</v>
      </c>
      <c r="K136" s="515" t="s">
        <v>41</v>
      </c>
      <c r="L136" s="82" t="s">
        <v>232</v>
      </c>
      <c r="M136" s="264" t="s">
        <v>42</v>
      </c>
    </row>
    <row r="137" spans="1:13" x14ac:dyDescent="0.25">
      <c r="A137" s="517"/>
      <c r="B137" s="517"/>
      <c r="C137" s="86"/>
      <c r="D137" s="517"/>
      <c r="E137" s="517"/>
      <c r="F137" s="517"/>
      <c r="G137" s="517"/>
      <c r="H137" s="517"/>
      <c r="I137" s="517"/>
      <c r="J137" s="517"/>
      <c r="K137" s="517"/>
      <c r="L137" s="87" t="s">
        <v>233</v>
      </c>
      <c r="M137" s="88"/>
    </row>
    <row r="138" spans="1:13" x14ac:dyDescent="0.25">
      <c r="A138" s="84"/>
      <c r="B138" s="111" t="s">
        <v>21</v>
      </c>
      <c r="C138" s="84"/>
      <c r="D138" s="84"/>
      <c r="E138" s="84"/>
      <c r="F138" s="84"/>
      <c r="G138" s="84"/>
      <c r="H138" s="91"/>
      <c r="I138" s="84"/>
      <c r="J138" s="93"/>
      <c r="K138" s="115"/>
      <c r="L138" s="115"/>
      <c r="M138" s="84"/>
    </row>
    <row r="139" spans="1:13" x14ac:dyDescent="0.25">
      <c r="A139" s="84">
        <v>45</v>
      </c>
      <c r="B139" s="91" t="s">
        <v>131</v>
      </c>
      <c r="C139" s="84" t="s">
        <v>207</v>
      </c>
      <c r="D139" s="84" t="s">
        <v>80</v>
      </c>
      <c r="E139" s="91" t="s">
        <v>133</v>
      </c>
      <c r="F139" s="84" t="s">
        <v>80</v>
      </c>
      <c r="G139" s="84" t="s">
        <v>80</v>
      </c>
      <c r="H139" s="91" t="s">
        <v>133</v>
      </c>
      <c r="I139" s="84" t="s">
        <v>80</v>
      </c>
      <c r="J139" s="93">
        <f>9000*12</f>
        <v>108000</v>
      </c>
      <c r="K139" s="115">
        <v>0</v>
      </c>
      <c r="L139" s="115">
        <v>0</v>
      </c>
      <c r="M139" s="270">
        <f>J139</f>
        <v>108000</v>
      </c>
    </row>
    <row r="140" spans="1:13" x14ac:dyDescent="0.25">
      <c r="A140" s="84"/>
      <c r="B140" s="91"/>
      <c r="C140" s="84" t="s">
        <v>326</v>
      </c>
      <c r="D140" s="84"/>
      <c r="E140" s="91"/>
      <c r="F140" s="84"/>
      <c r="G140" s="84"/>
      <c r="H140" s="91"/>
      <c r="I140" s="84"/>
      <c r="J140" s="256" t="s">
        <v>222</v>
      </c>
      <c r="K140" s="115"/>
      <c r="L140" s="115"/>
      <c r="M140" s="84"/>
    </row>
    <row r="141" spans="1:13" x14ac:dyDescent="0.25">
      <c r="A141" s="94">
        <v>46</v>
      </c>
      <c r="B141" s="95" t="s">
        <v>134</v>
      </c>
      <c r="C141" s="94" t="s">
        <v>132</v>
      </c>
      <c r="D141" s="94" t="s">
        <v>80</v>
      </c>
      <c r="E141" s="95" t="s">
        <v>133</v>
      </c>
      <c r="F141" s="94" t="s">
        <v>80</v>
      </c>
      <c r="G141" s="94" t="s">
        <v>80</v>
      </c>
      <c r="H141" s="95" t="s">
        <v>133</v>
      </c>
      <c r="I141" s="94" t="s">
        <v>80</v>
      </c>
      <c r="J141" s="96">
        <f>9000*12</f>
        <v>108000</v>
      </c>
      <c r="K141" s="212">
        <v>0</v>
      </c>
      <c r="L141" s="212">
        <v>0</v>
      </c>
      <c r="M141" s="238">
        <f>J141</f>
        <v>108000</v>
      </c>
    </row>
    <row r="142" spans="1:13" x14ac:dyDescent="0.25">
      <c r="A142" s="105"/>
      <c r="B142" s="92"/>
      <c r="C142" s="105"/>
      <c r="D142" s="105"/>
      <c r="E142" s="92"/>
      <c r="F142" s="105"/>
      <c r="G142" s="105"/>
      <c r="H142" s="92"/>
      <c r="I142" s="105"/>
      <c r="J142" s="285" t="s">
        <v>222</v>
      </c>
      <c r="K142" s="116"/>
      <c r="L142" s="116"/>
      <c r="M142" s="105"/>
    </row>
    <row r="143" spans="1:13" x14ac:dyDescent="0.25">
      <c r="A143" s="84">
        <v>47</v>
      </c>
      <c r="B143" s="261" t="s">
        <v>173</v>
      </c>
      <c r="C143" s="84" t="s">
        <v>228</v>
      </c>
      <c r="D143" s="84" t="s">
        <v>80</v>
      </c>
      <c r="E143" s="91" t="s">
        <v>30</v>
      </c>
      <c r="F143" s="84" t="s">
        <v>80</v>
      </c>
      <c r="G143" s="84" t="s">
        <v>80</v>
      </c>
      <c r="H143" s="91" t="s">
        <v>30</v>
      </c>
      <c r="I143" s="84" t="s">
        <v>135</v>
      </c>
      <c r="J143" s="93">
        <f t="shared" ref="J143:J145" si="0">9000*12</f>
        <v>108000</v>
      </c>
      <c r="K143" s="115">
        <v>0</v>
      </c>
      <c r="L143" s="115">
        <v>0</v>
      </c>
      <c r="M143" s="270">
        <f>J143</f>
        <v>108000</v>
      </c>
    </row>
    <row r="144" spans="1:13" x14ac:dyDescent="0.25">
      <c r="A144" s="84"/>
      <c r="B144" s="261"/>
      <c r="C144" s="84"/>
      <c r="D144" s="84"/>
      <c r="E144" s="91"/>
      <c r="F144" s="84"/>
      <c r="G144" s="84"/>
      <c r="H144" s="91"/>
      <c r="I144" s="84"/>
      <c r="J144" s="256" t="s">
        <v>222</v>
      </c>
      <c r="K144" s="115"/>
      <c r="L144" s="115"/>
      <c r="M144" s="84"/>
    </row>
    <row r="145" spans="1:13" x14ac:dyDescent="0.25">
      <c r="A145" s="94">
        <v>48</v>
      </c>
      <c r="B145" s="259" t="s">
        <v>208</v>
      </c>
      <c r="C145" s="94" t="s">
        <v>207</v>
      </c>
      <c r="D145" s="94" t="s">
        <v>80</v>
      </c>
      <c r="E145" s="95" t="s">
        <v>30</v>
      </c>
      <c r="F145" s="94" t="s">
        <v>80</v>
      </c>
      <c r="G145" s="94" t="s">
        <v>80</v>
      </c>
      <c r="H145" s="95" t="s">
        <v>30</v>
      </c>
      <c r="I145" s="94" t="s">
        <v>80</v>
      </c>
      <c r="J145" s="96">
        <f t="shared" si="0"/>
        <v>108000</v>
      </c>
      <c r="K145" s="212">
        <v>0</v>
      </c>
      <c r="L145" s="212">
        <v>0</v>
      </c>
      <c r="M145" s="238">
        <f>J145</f>
        <v>108000</v>
      </c>
    </row>
    <row r="146" spans="1:13" ht="15.75" thickBot="1" x14ac:dyDescent="0.3">
      <c r="A146" s="350"/>
      <c r="B146" s="351"/>
      <c r="C146" s="99" t="s">
        <v>328</v>
      </c>
      <c r="D146" s="351"/>
      <c r="E146" s="351"/>
      <c r="F146" s="351"/>
      <c r="G146" s="351"/>
      <c r="H146" s="351"/>
      <c r="I146" s="351"/>
      <c r="J146" s="265" t="s">
        <v>222</v>
      </c>
      <c r="K146" s="351"/>
      <c r="L146" s="351"/>
      <c r="M146" s="351"/>
    </row>
    <row r="147" spans="1:13" x14ac:dyDescent="0.25">
      <c r="A147" s="344"/>
      <c r="B147" s="352" t="s">
        <v>342</v>
      </c>
      <c r="C147" s="344"/>
      <c r="D147" s="344"/>
      <c r="E147" s="346"/>
      <c r="F147" s="344"/>
      <c r="G147" s="344"/>
      <c r="H147" s="346"/>
      <c r="I147" s="344"/>
      <c r="J147" s="348"/>
      <c r="K147" s="353"/>
      <c r="L147" s="353"/>
      <c r="M147" s="344"/>
    </row>
    <row r="148" spans="1:13" x14ac:dyDescent="0.25">
      <c r="A148" s="84"/>
      <c r="B148" s="101" t="s">
        <v>50</v>
      </c>
      <c r="C148" s="84"/>
      <c r="D148" s="84"/>
      <c r="E148" s="91"/>
      <c r="F148" s="84"/>
      <c r="G148" s="84"/>
      <c r="H148" s="91"/>
      <c r="I148" s="84"/>
      <c r="J148" s="93"/>
      <c r="K148" s="115"/>
      <c r="L148" s="115"/>
      <c r="M148" s="84"/>
    </row>
    <row r="149" spans="1:13" x14ac:dyDescent="0.25">
      <c r="A149" s="84">
        <v>49</v>
      </c>
      <c r="B149" s="261" t="s">
        <v>209</v>
      </c>
      <c r="C149" s="235" t="s">
        <v>333</v>
      </c>
      <c r="D149" s="84" t="s">
        <v>174</v>
      </c>
      <c r="E149" s="91" t="s">
        <v>345</v>
      </c>
      <c r="F149" s="84" t="s">
        <v>49</v>
      </c>
      <c r="G149" s="84" t="s">
        <v>174</v>
      </c>
      <c r="H149" s="91" t="s">
        <v>345</v>
      </c>
      <c r="I149" s="84" t="s">
        <v>49</v>
      </c>
      <c r="J149" s="93">
        <f>30790*12</f>
        <v>369480</v>
      </c>
      <c r="K149" s="115">
        <f>3500*12</f>
        <v>42000</v>
      </c>
      <c r="L149" s="93">
        <v>0</v>
      </c>
      <c r="M149" s="270">
        <f>SUM(J149:L149)</f>
        <v>411480</v>
      </c>
    </row>
    <row r="150" spans="1:13" x14ac:dyDescent="0.25">
      <c r="A150" s="105"/>
      <c r="B150" s="92"/>
      <c r="C150" s="105" t="s">
        <v>334</v>
      </c>
      <c r="D150" s="105"/>
      <c r="E150" s="92" t="s">
        <v>346</v>
      </c>
      <c r="F150" s="105"/>
      <c r="G150" s="105"/>
      <c r="H150" s="92" t="s">
        <v>346</v>
      </c>
      <c r="I150" s="105"/>
      <c r="J150" s="285" t="s">
        <v>411</v>
      </c>
      <c r="K150" s="354" t="s">
        <v>214</v>
      </c>
      <c r="L150" s="116"/>
      <c r="M150" s="105"/>
    </row>
    <row r="151" spans="1:13" x14ac:dyDescent="0.25">
      <c r="A151" s="84">
        <v>50</v>
      </c>
      <c r="B151" s="261" t="s">
        <v>167</v>
      </c>
      <c r="C151" s="91" t="s">
        <v>335</v>
      </c>
      <c r="D151" s="91" t="s">
        <v>236</v>
      </c>
      <c r="E151" s="91" t="s">
        <v>147</v>
      </c>
      <c r="F151" s="84" t="s">
        <v>65</v>
      </c>
      <c r="G151" s="91" t="s">
        <v>236</v>
      </c>
      <c r="H151" s="91" t="s">
        <v>147</v>
      </c>
      <c r="I151" s="84" t="s">
        <v>65</v>
      </c>
      <c r="J151" s="93">
        <f>25270*12</f>
        <v>303240</v>
      </c>
      <c r="K151" s="93">
        <v>0</v>
      </c>
      <c r="L151" s="93">
        <v>0</v>
      </c>
      <c r="M151" s="270">
        <f>J151</f>
        <v>303240</v>
      </c>
    </row>
    <row r="152" spans="1:13" x14ac:dyDescent="0.25">
      <c r="A152" s="84"/>
      <c r="B152" s="261"/>
      <c r="C152" s="91" t="s">
        <v>336</v>
      </c>
      <c r="D152" s="91"/>
      <c r="E152" s="91"/>
      <c r="F152" s="84"/>
      <c r="G152" s="91"/>
      <c r="H152" s="91"/>
      <c r="I152" s="84"/>
      <c r="J152" s="256" t="s">
        <v>436</v>
      </c>
      <c r="K152" s="93"/>
      <c r="L152" s="93"/>
      <c r="M152" s="84"/>
    </row>
    <row r="153" spans="1:13" x14ac:dyDescent="0.25">
      <c r="A153" s="94">
        <v>51</v>
      </c>
      <c r="B153" s="267" t="s">
        <v>47</v>
      </c>
      <c r="C153" s="94" t="s">
        <v>80</v>
      </c>
      <c r="D153" s="84" t="s">
        <v>80</v>
      </c>
      <c r="E153" s="275" t="s">
        <v>80</v>
      </c>
      <c r="F153" s="275" t="s">
        <v>80</v>
      </c>
      <c r="G153" s="95" t="s">
        <v>470</v>
      </c>
      <c r="H153" s="95" t="s">
        <v>98</v>
      </c>
      <c r="I153" s="94" t="s">
        <v>392</v>
      </c>
      <c r="J153" s="476">
        <f>29110*12</f>
        <v>349320</v>
      </c>
      <c r="K153" s="96">
        <v>0</v>
      </c>
      <c r="L153" s="96">
        <v>0</v>
      </c>
      <c r="M153" s="97">
        <f>J153</f>
        <v>349320</v>
      </c>
    </row>
    <row r="154" spans="1:13" x14ac:dyDescent="0.25">
      <c r="A154" s="105"/>
      <c r="B154" s="260"/>
      <c r="C154" s="92"/>
      <c r="D154" s="92"/>
      <c r="E154" s="92"/>
      <c r="F154" s="105"/>
      <c r="G154" s="91"/>
      <c r="H154" s="91"/>
      <c r="I154" s="84"/>
      <c r="J154" s="168" t="s">
        <v>422</v>
      </c>
      <c r="K154" s="93"/>
      <c r="L154" s="93"/>
      <c r="M154" s="102"/>
    </row>
    <row r="155" spans="1:13" x14ac:dyDescent="0.25">
      <c r="A155" s="94"/>
      <c r="B155" s="355" t="s">
        <v>220</v>
      </c>
      <c r="C155" s="95"/>
      <c r="D155" s="254"/>
      <c r="E155" s="254"/>
      <c r="F155" s="254"/>
      <c r="G155" s="254"/>
      <c r="H155" s="254"/>
      <c r="I155" s="254"/>
      <c r="J155" s="254"/>
      <c r="K155" s="254"/>
      <c r="L155" s="94"/>
      <c r="M155" s="255"/>
    </row>
    <row r="156" spans="1:13" x14ac:dyDescent="0.25">
      <c r="A156" s="84">
        <v>52</v>
      </c>
      <c r="B156" s="91" t="s">
        <v>373</v>
      </c>
      <c r="C156" s="91" t="s">
        <v>335</v>
      </c>
      <c r="D156" s="84" t="s">
        <v>80</v>
      </c>
      <c r="E156" s="91" t="s">
        <v>18</v>
      </c>
      <c r="F156" s="84" t="s">
        <v>80</v>
      </c>
      <c r="G156" s="84" t="s">
        <v>80</v>
      </c>
      <c r="H156" s="91" t="s">
        <v>18</v>
      </c>
      <c r="I156" s="84" t="s">
        <v>80</v>
      </c>
      <c r="J156" s="129">
        <f>20370*12</f>
        <v>244440</v>
      </c>
      <c r="K156" s="93">
        <v>0</v>
      </c>
      <c r="L156" s="93">
        <v>0</v>
      </c>
      <c r="M156" s="102">
        <f>J156</f>
        <v>244440</v>
      </c>
    </row>
    <row r="157" spans="1:13" x14ac:dyDescent="0.25">
      <c r="A157" s="105"/>
      <c r="B157" s="92"/>
      <c r="C157" s="92" t="s">
        <v>339</v>
      </c>
      <c r="D157" s="105"/>
      <c r="E157" s="92"/>
      <c r="F157" s="105"/>
      <c r="G157" s="105"/>
      <c r="H157" s="92"/>
      <c r="I157" s="105"/>
      <c r="J157" s="114" t="s">
        <v>437</v>
      </c>
      <c r="K157" s="108"/>
      <c r="L157" s="108"/>
      <c r="M157" s="92"/>
    </row>
    <row r="158" spans="1:13" x14ac:dyDescent="0.25">
      <c r="A158" s="84"/>
      <c r="B158" s="342" t="s">
        <v>340</v>
      </c>
      <c r="C158" s="91"/>
      <c r="D158" s="91"/>
      <c r="E158" s="91"/>
      <c r="F158" s="84"/>
      <c r="G158" s="91"/>
      <c r="H158" s="91"/>
      <c r="I158" s="84"/>
      <c r="J158" s="256"/>
      <c r="K158" s="93"/>
      <c r="L158" s="93"/>
      <c r="M158" s="84"/>
    </row>
    <row r="159" spans="1:13" x14ac:dyDescent="0.25">
      <c r="A159" s="84">
        <v>53</v>
      </c>
      <c r="B159" s="91" t="s">
        <v>81</v>
      </c>
      <c r="C159" s="91" t="s">
        <v>306</v>
      </c>
      <c r="D159" s="91" t="s">
        <v>237</v>
      </c>
      <c r="E159" s="91" t="s">
        <v>79</v>
      </c>
      <c r="F159" s="84" t="s">
        <v>80</v>
      </c>
      <c r="G159" s="91" t="s">
        <v>237</v>
      </c>
      <c r="H159" s="91" t="s">
        <v>79</v>
      </c>
      <c r="I159" s="84" t="s">
        <v>80</v>
      </c>
      <c r="J159" s="204">
        <v>0</v>
      </c>
      <c r="K159" s="204">
        <v>0</v>
      </c>
      <c r="L159" s="204">
        <v>0</v>
      </c>
      <c r="M159" s="84" t="s">
        <v>243</v>
      </c>
    </row>
    <row r="160" spans="1:13" x14ac:dyDescent="0.25">
      <c r="A160" s="84"/>
      <c r="B160" s="91"/>
      <c r="C160" s="91" t="s">
        <v>338</v>
      </c>
      <c r="D160" s="91"/>
      <c r="E160" s="91"/>
      <c r="F160" s="84"/>
      <c r="G160" s="91"/>
      <c r="H160" s="91"/>
      <c r="I160" s="84"/>
      <c r="J160" s="204"/>
      <c r="K160" s="204"/>
      <c r="L160" s="204"/>
      <c r="M160" s="84"/>
    </row>
    <row r="161" spans="1:13" x14ac:dyDescent="0.25">
      <c r="A161" s="94">
        <v>54</v>
      </c>
      <c r="B161" s="95" t="s">
        <v>87</v>
      </c>
      <c r="C161" s="95" t="s">
        <v>88</v>
      </c>
      <c r="D161" s="95" t="s">
        <v>242</v>
      </c>
      <c r="E161" s="95" t="s">
        <v>79</v>
      </c>
      <c r="F161" s="94" t="s">
        <v>80</v>
      </c>
      <c r="G161" s="95" t="s">
        <v>242</v>
      </c>
      <c r="H161" s="95" t="s">
        <v>79</v>
      </c>
      <c r="I161" s="94" t="s">
        <v>80</v>
      </c>
      <c r="J161" s="104">
        <v>0</v>
      </c>
      <c r="K161" s="104">
        <v>0</v>
      </c>
      <c r="L161" s="104">
        <v>0</v>
      </c>
      <c r="M161" s="94" t="s">
        <v>243</v>
      </c>
    </row>
    <row r="162" spans="1:13" x14ac:dyDescent="0.25">
      <c r="A162" s="87"/>
      <c r="B162" s="86"/>
      <c r="C162" s="86" t="s">
        <v>337</v>
      </c>
      <c r="D162" s="86"/>
      <c r="E162" s="86"/>
      <c r="F162" s="87"/>
      <c r="G162" s="86"/>
      <c r="H162" s="86"/>
      <c r="I162" s="87"/>
      <c r="J162" s="290"/>
      <c r="K162" s="290"/>
      <c r="L162" s="290"/>
      <c r="M162" s="87"/>
    </row>
    <row r="166" spans="1:13" x14ac:dyDescent="0.25">
      <c r="A166" s="216"/>
      <c r="B166" s="110"/>
      <c r="C166" s="110"/>
      <c r="D166" s="110"/>
      <c r="E166" s="110"/>
      <c r="F166" s="216"/>
      <c r="G166" s="110"/>
      <c r="H166" s="110"/>
      <c r="I166" s="216"/>
      <c r="J166" s="210"/>
      <c r="K166" s="210"/>
      <c r="L166" s="210"/>
      <c r="M166" s="216"/>
    </row>
    <row r="167" spans="1:13" x14ac:dyDescent="0.25">
      <c r="A167" s="206"/>
      <c r="B167" s="110"/>
      <c r="C167" s="110"/>
      <c r="D167" s="110"/>
      <c r="E167" s="110"/>
      <c r="F167" s="206"/>
      <c r="G167" s="110"/>
      <c r="H167" s="110"/>
      <c r="I167" s="206"/>
      <c r="J167" s="210"/>
      <c r="K167" s="210"/>
      <c r="L167" s="210"/>
      <c r="M167" s="206"/>
    </row>
    <row r="168" spans="1:13" x14ac:dyDescent="0.25">
      <c r="A168" s="515" t="s">
        <v>1</v>
      </c>
      <c r="B168" s="515" t="s">
        <v>32</v>
      </c>
      <c r="C168" s="82" t="s">
        <v>33</v>
      </c>
      <c r="D168" s="518" t="s">
        <v>34</v>
      </c>
      <c r="E168" s="519"/>
      <c r="F168" s="519"/>
      <c r="G168" s="518" t="s">
        <v>35</v>
      </c>
      <c r="H168" s="519"/>
      <c r="I168" s="520"/>
      <c r="J168" s="521" t="s">
        <v>36</v>
      </c>
      <c r="K168" s="522"/>
      <c r="L168" s="523"/>
      <c r="M168" s="83"/>
    </row>
    <row r="169" spans="1:13" x14ac:dyDescent="0.25">
      <c r="A169" s="516"/>
      <c r="B169" s="516"/>
      <c r="C169" s="84" t="s">
        <v>37</v>
      </c>
      <c r="D169" s="515" t="s">
        <v>38</v>
      </c>
      <c r="E169" s="515" t="s">
        <v>39</v>
      </c>
      <c r="F169" s="515" t="s">
        <v>40</v>
      </c>
      <c r="G169" s="515" t="s">
        <v>38</v>
      </c>
      <c r="H169" s="515" t="s">
        <v>39</v>
      </c>
      <c r="I169" s="515" t="s">
        <v>40</v>
      </c>
      <c r="J169" s="515" t="s">
        <v>36</v>
      </c>
      <c r="K169" s="515" t="s">
        <v>41</v>
      </c>
      <c r="L169" s="82" t="s">
        <v>232</v>
      </c>
      <c r="M169" s="205" t="s">
        <v>42</v>
      </c>
    </row>
    <row r="170" spans="1:13" x14ac:dyDescent="0.25">
      <c r="A170" s="517"/>
      <c r="B170" s="517"/>
      <c r="C170" s="86"/>
      <c r="D170" s="517"/>
      <c r="E170" s="517"/>
      <c r="F170" s="517"/>
      <c r="G170" s="517"/>
      <c r="H170" s="517"/>
      <c r="I170" s="517"/>
      <c r="J170" s="517"/>
      <c r="K170" s="517"/>
      <c r="L170" s="87" t="s">
        <v>233</v>
      </c>
      <c r="M170" s="88"/>
    </row>
    <row r="171" spans="1:13" x14ac:dyDescent="0.25">
      <c r="A171" s="84"/>
      <c r="B171" s="234" t="s">
        <v>219</v>
      </c>
      <c r="C171" s="91"/>
      <c r="D171" s="91"/>
      <c r="E171" s="91"/>
      <c r="F171" s="84"/>
      <c r="G171" s="91"/>
      <c r="H171" s="91"/>
      <c r="I171" s="84"/>
      <c r="J171" s="204"/>
      <c r="K171" s="204"/>
      <c r="L171" s="204"/>
      <c r="M171" s="84"/>
    </row>
    <row r="172" spans="1:13" x14ac:dyDescent="0.25">
      <c r="A172" s="84">
        <v>55</v>
      </c>
      <c r="B172" s="91" t="s">
        <v>368</v>
      </c>
      <c r="C172" s="91" t="s">
        <v>88</v>
      </c>
      <c r="D172" s="84" t="s">
        <v>80</v>
      </c>
      <c r="E172" s="91" t="s">
        <v>191</v>
      </c>
      <c r="F172" s="84" t="s">
        <v>80</v>
      </c>
      <c r="G172" s="84" t="s">
        <v>80</v>
      </c>
      <c r="H172" s="91" t="s">
        <v>191</v>
      </c>
      <c r="I172" s="84" t="s">
        <v>80</v>
      </c>
      <c r="J172" s="289">
        <f>(13270-9400)*12</f>
        <v>46440</v>
      </c>
      <c r="K172" s="204">
        <v>0</v>
      </c>
      <c r="L172" s="204">
        <v>0</v>
      </c>
      <c r="M172" s="102">
        <f>J172</f>
        <v>46440</v>
      </c>
    </row>
    <row r="173" spans="1:13" x14ac:dyDescent="0.25">
      <c r="A173" s="87"/>
      <c r="B173" s="269"/>
      <c r="C173" s="269" t="s">
        <v>337</v>
      </c>
      <c r="D173" s="269"/>
      <c r="E173" s="269"/>
      <c r="F173" s="269"/>
      <c r="G173" s="269"/>
      <c r="H173" s="269"/>
      <c r="I173" s="269"/>
      <c r="J173" s="87" t="s">
        <v>438</v>
      </c>
      <c r="K173" s="269"/>
      <c r="L173" s="269"/>
      <c r="M173" s="269"/>
    </row>
    <row r="174" spans="1:13" x14ac:dyDescent="0.25">
      <c r="A174" s="82"/>
      <c r="B174" s="357" t="s">
        <v>21</v>
      </c>
      <c r="C174" s="83"/>
      <c r="D174" s="83"/>
      <c r="E174" s="83"/>
      <c r="F174" s="82"/>
      <c r="G174" s="83"/>
      <c r="H174" s="83"/>
      <c r="I174" s="82"/>
      <c r="J174" s="358"/>
      <c r="K174" s="89"/>
      <c r="L174" s="89"/>
      <c r="M174" s="82"/>
    </row>
    <row r="175" spans="1:13" x14ac:dyDescent="0.25">
      <c r="A175" s="84">
        <v>56</v>
      </c>
      <c r="B175" s="427" t="s">
        <v>439</v>
      </c>
      <c r="C175" s="268" t="s">
        <v>440</v>
      </c>
      <c r="D175" s="275" t="s">
        <v>80</v>
      </c>
      <c r="E175" s="268" t="s">
        <v>211</v>
      </c>
      <c r="F175" s="275" t="s">
        <v>80</v>
      </c>
      <c r="G175" s="275" t="s">
        <v>80</v>
      </c>
      <c r="H175" s="268" t="s">
        <v>211</v>
      </c>
      <c r="I175" s="268"/>
      <c r="J175" s="291">
        <f>9000*12</f>
        <v>108000</v>
      </c>
      <c r="K175" s="204">
        <v>0</v>
      </c>
      <c r="L175" s="204">
        <v>0</v>
      </c>
      <c r="M175" s="428">
        <f>J175</f>
        <v>108000</v>
      </c>
    </row>
    <row r="176" spans="1:13" x14ac:dyDescent="0.25">
      <c r="A176" s="105"/>
      <c r="B176" s="294"/>
      <c r="C176" s="280" t="s">
        <v>441</v>
      </c>
      <c r="D176" s="257"/>
      <c r="E176" s="280"/>
      <c r="F176" s="257"/>
      <c r="G176" s="257"/>
      <c r="H176" s="280"/>
      <c r="I176" s="280"/>
      <c r="J176" s="257" t="s">
        <v>222</v>
      </c>
      <c r="K176" s="257"/>
      <c r="L176" s="257"/>
      <c r="M176" s="280"/>
    </row>
    <row r="177" spans="1:13" x14ac:dyDescent="0.25">
      <c r="A177" s="84"/>
      <c r="B177" s="342" t="s">
        <v>341</v>
      </c>
      <c r="C177" s="91"/>
      <c r="D177" s="91"/>
      <c r="E177" s="91"/>
      <c r="F177" s="84"/>
      <c r="G177" s="91"/>
      <c r="H177" s="91"/>
      <c r="I177" s="84"/>
      <c r="J177" s="256"/>
      <c r="K177" s="93"/>
      <c r="L177" s="93"/>
      <c r="M177" s="84"/>
    </row>
    <row r="178" spans="1:13" x14ac:dyDescent="0.25">
      <c r="A178" s="84">
        <v>57</v>
      </c>
      <c r="B178" s="91" t="s">
        <v>78</v>
      </c>
      <c r="C178" s="91" t="s">
        <v>335</v>
      </c>
      <c r="D178" s="91" t="s">
        <v>235</v>
      </c>
      <c r="E178" s="91" t="s">
        <v>234</v>
      </c>
      <c r="F178" s="84" t="s">
        <v>56</v>
      </c>
      <c r="G178" s="91" t="s">
        <v>235</v>
      </c>
      <c r="H178" s="91" t="s">
        <v>234</v>
      </c>
      <c r="I178" s="84" t="s">
        <v>56</v>
      </c>
      <c r="J178" s="204">
        <v>0</v>
      </c>
      <c r="K178" s="204">
        <v>0</v>
      </c>
      <c r="L178" s="204">
        <v>0</v>
      </c>
      <c r="M178" s="84" t="s">
        <v>243</v>
      </c>
    </row>
    <row r="179" spans="1:13" x14ac:dyDescent="0.25">
      <c r="A179" s="84"/>
      <c r="B179" s="91"/>
      <c r="C179" s="91" t="s">
        <v>337</v>
      </c>
      <c r="D179" s="91"/>
      <c r="E179" s="91"/>
      <c r="F179" s="84"/>
      <c r="G179" s="91"/>
      <c r="H179" s="91"/>
      <c r="I179" s="84"/>
      <c r="J179" s="204"/>
      <c r="K179" s="204"/>
      <c r="L179" s="204"/>
      <c r="M179" s="84"/>
    </row>
    <row r="180" spans="1:13" x14ac:dyDescent="0.25">
      <c r="A180" s="94">
        <v>58</v>
      </c>
      <c r="B180" s="95" t="s">
        <v>84</v>
      </c>
      <c r="C180" s="95" t="s">
        <v>88</v>
      </c>
      <c r="D180" s="95" t="s">
        <v>241</v>
      </c>
      <c r="E180" s="95" t="s">
        <v>79</v>
      </c>
      <c r="F180" s="94" t="s">
        <v>80</v>
      </c>
      <c r="G180" s="95" t="s">
        <v>241</v>
      </c>
      <c r="H180" s="95" t="s">
        <v>79</v>
      </c>
      <c r="I180" s="94" t="s">
        <v>80</v>
      </c>
      <c r="J180" s="104">
        <v>0</v>
      </c>
      <c r="K180" s="104">
        <v>0</v>
      </c>
      <c r="L180" s="104">
        <v>0</v>
      </c>
      <c r="M180" s="94" t="s">
        <v>243</v>
      </c>
    </row>
    <row r="181" spans="1:13" x14ac:dyDescent="0.25">
      <c r="A181" s="105"/>
      <c r="B181" s="92"/>
      <c r="C181" s="92" t="s">
        <v>337</v>
      </c>
      <c r="D181" s="92"/>
      <c r="E181" s="92"/>
      <c r="F181" s="105"/>
      <c r="G181" s="92"/>
      <c r="H181" s="92"/>
      <c r="I181" s="105"/>
      <c r="J181" s="356"/>
      <c r="K181" s="356"/>
      <c r="L181" s="356"/>
      <c r="M181" s="105"/>
    </row>
    <row r="182" spans="1:13" x14ac:dyDescent="0.25">
      <c r="A182" s="84"/>
      <c r="B182" s="234" t="s">
        <v>220</v>
      </c>
      <c r="C182" s="91"/>
      <c r="D182" s="91"/>
      <c r="E182" s="91"/>
      <c r="F182" s="84"/>
      <c r="G182" s="91"/>
      <c r="H182" s="91"/>
      <c r="I182" s="84"/>
      <c r="J182" s="204"/>
      <c r="K182" s="204"/>
      <c r="L182" s="204"/>
      <c r="M182" s="84"/>
    </row>
    <row r="183" spans="1:13" x14ac:dyDescent="0.25">
      <c r="A183" s="84">
        <v>59</v>
      </c>
      <c r="B183" s="91" t="s">
        <v>85</v>
      </c>
      <c r="C183" s="91" t="s">
        <v>335</v>
      </c>
      <c r="D183" s="84" t="s">
        <v>80</v>
      </c>
      <c r="E183" s="91" t="s">
        <v>17</v>
      </c>
      <c r="F183" s="84" t="s">
        <v>80</v>
      </c>
      <c r="G183" s="84" t="s">
        <v>80</v>
      </c>
      <c r="H183" s="91" t="s">
        <v>17</v>
      </c>
      <c r="I183" s="84" t="s">
        <v>80</v>
      </c>
      <c r="J183" s="289">
        <f>(23540-15000)*12</f>
        <v>102480</v>
      </c>
      <c r="K183" s="204">
        <v>0</v>
      </c>
      <c r="L183" s="204">
        <v>0</v>
      </c>
      <c r="M183" s="102">
        <f>J183</f>
        <v>102480</v>
      </c>
    </row>
    <row r="184" spans="1:13" x14ac:dyDescent="0.25">
      <c r="A184" s="84"/>
      <c r="B184" s="91"/>
      <c r="C184" s="91" t="s">
        <v>337</v>
      </c>
      <c r="D184" s="84"/>
      <c r="E184" s="91"/>
      <c r="F184" s="84"/>
      <c r="G184" s="84"/>
      <c r="H184" s="91"/>
      <c r="I184" s="84"/>
      <c r="J184" s="168" t="s">
        <v>442</v>
      </c>
      <c r="K184" s="204"/>
      <c r="L184" s="204"/>
      <c r="M184" s="91"/>
    </row>
    <row r="185" spans="1:13" x14ac:dyDescent="0.25">
      <c r="A185" s="94"/>
      <c r="B185" s="292" t="s">
        <v>21</v>
      </c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</row>
    <row r="186" spans="1:13" x14ac:dyDescent="0.25">
      <c r="A186" s="84">
        <v>60</v>
      </c>
      <c r="B186" s="427" t="s">
        <v>446</v>
      </c>
      <c r="C186" s="268" t="s">
        <v>310</v>
      </c>
      <c r="D186" s="275" t="s">
        <v>80</v>
      </c>
      <c r="E186" s="268" t="s">
        <v>211</v>
      </c>
      <c r="F186" s="275" t="s">
        <v>80</v>
      </c>
      <c r="G186" s="275" t="s">
        <v>80</v>
      </c>
      <c r="H186" s="268" t="s">
        <v>211</v>
      </c>
      <c r="I186" s="268"/>
      <c r="J186" s="291">
        <f t="shared" ref="J186" si="1">9000*12</f>
        <v>108000</v>
      </c>
      <c r="K186" s="204">
        <v>0</v>
      </c>
      <c r="L186" s="204">
        <v>0</v>
      </c>
      <c r="M186" s="428">
        <f>J186</f>
        <v>108000</v>
      </c>
    </row>
    <row r="187" spans="1:13" x14ac:dyDescent="0.25">
      <c r="A187" s="105"/>
      <c r="B187" s="359"/>
      <c r="C187" s="280" t="s">
        <v>447</v>
      </c>
      <c r="D187" s="257"/>
      <c r="E187" s="280"/>
      <c r="F187" s="280"/>
      <c r="G187" s="280"/>
      <c r="H187" s="280"/>
      <c r="I187" s="280"/>
      <c r="J187" s="257" t="s">
        <v>222</v>
      </c>
      <c r="K187" s="280"/>
      <c r="L187" s="280"/>
      <c r="M187" s="280"/>
    </row>
    <row r="188" spans="1:13" x14ac:dyDescent="0.25">
      <c r="A188" s="84"/>
      <c r="B188" s="342" t="s">
        <v>343</v>
      </c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</row>
    <row r="189" spans="1:13" x14ac:dyDescent="0.25">
      <c r="A189" s="84">
        <v>61</v>
      </c>
      <c r="B189" s="91" t="s">
        <v>82</v>
      </c>
      <c r="C189" s="91" t="s">
        <v>88</v>
      </c>
      <c r="D189" s="91" t="s">
        <v>238</v>
      </c>
      <c r="E189" s="91" t="s">
        <v>79</v>
      </c>
      <c r="F189" s="84" t="s">
        <v>80</v>
      </c>
      <c r="G189" s="91" t="s">
        <v>238</v>
      </c>
      <c r="H189" s="91" t="s">
        <v>79</v>
      </c>
      <c r="I189" s="84" t="s">
        <v>80</v>
      </c>
      <c r="J189" s="204">
        <v>0</v>
      </c>
      <c r="K189" s="204">
        <v>0</v>
      </c>
      <c r="L189" s="204">
        <v>0</v>
      </c>
      <c r="M189" s="84" t="s">
        <v>243</v>
      </c>
    </row>
    <row r="190" spans="1:13" x14ac:dyDescent="0.25">
      <c r="A190" s="84"/>
      <c r="B190" s="91"/>
      <c r="C190" s="91" t="s">
        <v>337</v>
      </c>
      <c r="D190" s="91"/>
      <c r="E190" s="91"/>
      <c r="F190" s="84"/>
      <c r="G190" s="91"/>
      <c r="H190" s="91"/>
      <c r="I190" s="84"/>
      <c r="J190" s="204"/>
      <c r="K190" s="204"/>
      <c r="L190" s="204"/>
      <c r="M190" s="84"/>
    </row>
    <row r="191" spans="1:13" x14ac:dyDescent="0.25">
      <c r="A191" s="94">
        <v>62</v>
      </c>
      <c r="B191" s="95" t="s">
        <v>369</v>
      </c>
      <c r="C191" s="95" t="s">
        <v>88</v>
      </c>
      <c r="D191" s="95" t="s">
        <v>240</v>
      </c>
      <c r="E191" s="95" t="s">
        <v>79</v>
      </c>
      <c r="F191" s="94" t="s">
        <v>80</v>
      </c>
      <c r="G191" s="95" t="s">
        <v>240</v>
      </c>
      <c r="H191" s="95" t="s">
        <v>79</v>
      </c>
      <c r="I191" s="94" t="s">
        <v>80</v>
      </c>
      <c r="J191" s="104">
        <v>0</v>
      </c>
      <c r="K191" s="104">
        <v>0</v>
      </c>
      <c r="L191" s="104">
        <v>0</v>
      </c>
      <c r="M191" s="94" t="s">
        <v>243</v>
      </c>
    </row>
    <row r="192" spans="1:13" x14ac:dyDescent="0.25">
      <c r="A192" s="105"/>
      <c r="B192" s="92"/>
      <c r="C192" s="92" t="s">
        <v>337</v>
      </c>
      <c r="D192" s="92"/>
      <c r="E192" s="92"/>
      <c r="F192" s="105"/>
      <c r="G192" s="92"/>
      <c r="H192" s="92"/>
      <c r="I192" s="105"/>
      <c r="J192" s="356"/>
      <c r="K192" s="356"/>
      <c r="L192" s="356"/>
      <c r="M192" s="105"/>
    </row>
    <row r="193" spans="1:13" x14ac:dyDescent="0.25">
      <c r="A193" s="94"/>
      <c r="B193" s="292" t="s">
        <v>21</v>
      </c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</row>
    <row r="194" spans="1:13" x14ac:dyDescent="0.25">
      <c r="A194" s="84">
        <v>63</v>
      </c>
      <c r="B194" s="427" t="s">
        <v>443</v>
      </c>
      <c r="C194" s="268" t="s">
        <v>444</v>
      </c>
      <c r="D194" s="275" t="s">
        <v>80</v>
      </c>
      <c r="E194" s="268" t="s">
        <v>211</v>
      </c>
      <c r="F194" s="275" t="s">
        <v>80</v>
      </c>
      <c r="G194" s="275" t="s">
        <v>80</v>
      </c>
      <c r="H194" s="268" t="s">
        <v>211</v>
      </c>
      <c r="I194" s="268"/>
      <c r="J194" s="291">
        <f t="shared" ref="J194" si="2">9000*12</f>
        <v>108000</v>
      </c>
      <c r="K194" s="204">
        <v>0</v>
      </c>
      <c r="L194" s="204">
        <v>0</v>
      </c>
      <c r="M194" s="428">
        <f>J194</f>
        <v>108000</v>
      </c>
    </row>
    <row r="195" spans="1:13" x14ac:dyDescent="0.25">
      <c r="A195" s="87"/>
      <c r="B195" s="362"/>
      <c r="C195" s="86" t="s">
        <v>445</v>
      </c>
      <c r="D195" s="284"/>
      <c r="E195" s="269"/>
      <c r="F195" s="284"/>
      <c r="G195" s="284"/>
      <c r="H195" s="269"/>
      <c r="I195" s="269"/>
      <c r="J195" s="284" t="s">
        <v>222</v>
      </c>
      <c r="K195" s="284"/>
      <c r="L195" s="284"/>
      <c r="M195" s="269"/>
    </row>
    <row r="199" spans="1:13" x14ac:dyDescent="0.25">
      <c r="A199" s="471"/>
      <c r="B199" s="110"/>
      <c r="C199" s="110"/>
      <c r="D199" s="110"/>
      <c r="E199" s="110"/>
      <c r="F199" s="471"/>
      <c r="G199" s="110"/>
      <c r="H199" s="110"/>
      <c r="I199" s="471"/>
      <c r="J199" s="210"/>
      <c r="K199" s="210"/>
      <c r="L199" s="210"/>
      <c r="M199" s="471"/>
    </row>
    <row r="200" spans="1:13" x14ac:dyDescent="0.25">
      <c r="A200" s="478"/>
      <c r="B200" s="479"/>
      <c r="C200" s="479"/>
      <c r="D200" s="479"/>
      <c r="E200" s="479"/>
      <c r="F200" s="478"/>
      <c r="G200" s="479"/>
      <c r="H200" s="479"/>
      <c r="I200" s="478"/>
      <c r="J200" s="480"/>
      <c r="K200" s="480"/>
      <c r="L200" s="480"/>
      <c r="M200" s="478"/>
    </row>
    <row r="201" spans="1:13" x14ac:dyDescent="0.25">
      <c r="A201" s="515" t="s">
        <v>1</v>
      </c>
      <c r="B201" s="515" t="s">
        <v>32</v>
      </c>
      <c r="C201" s="82" t="s">
        <v>33</v>
      </c>
      <c r="D201" s="518" t="s">
        <v>34</v>
      </c>
      <c r="E201" s="519"/>
      <c r="F201" s="519"/>
      <c r="G201" s="518" t="s">
        <v>35</v>
      </c>
      <c r="H201" s="519"/>
      <c r="I201" s="520"/>
      <c r="J201" s="521" t="s">
        <v>36</v>
      </c>
      <c r="K201" s="522"/>
      <c r="L201" s="523"/>
      <c r="M201" s="83"/>
    </row>
    <row r="202" spans="1:13" x14ac:dyDescent="0.25">
      <c r="A202" s="516"/>
      <c r="B202" s="516"/>
      <c r="C202" s="84" t="s">
        <v>37</v>
      </c>
      <c r="D202" s="515" t="s">
        <v>38</v>
      </c>
      <c r="E202" s="515" t="s">
        <v>39</v>
      </c>
      <c r="F202" s="515" t="s">
        <v>40</v>
      </c>
      <c r="G202" s="515" t="s">
        <v>38</v>
      </c>
      <c r="H202" s="515" t="s">
        <v>39</v>
      </c>
      <c r="I202" s="515" t="s">
        <v>40</v>
      </c>
      <c r="J202" s="515" t="s">
        <v>36</v>
      </c>
      <c r="K202" s="515" t="s">
        <v>41</v>
      </c>
      <c r="L202" s="82" t="s">
        <v>232</v>
      </c>
      <c r="M202" s="332" t="s">
        <v>42</v>
      </c>
    </row>
    <row r="203" spans="1:13" x14ac:dyDescent="0.25">
      <c r="A203" s="517"/>
      <c r="B203" s="517"/>
      <c r="C203" s="86"/>
      <c r="D203" s="517"/>
      <c r="E203" s="517"/>
      <c r="F203" s="517"/>
      <c r="G203" s="517"/>
      <c r="H203" s="517"/>
      <c r="I203" s="517"/>
      <c r="J203" s="517"/>
      <c r="K203" s="517"/>
      <c r="L203" s="87" t="s">
        <v>233</v>
      </c>
      <c r="M203" s="88"/>
    </row>
    <row r="204" spans="1:13" x14ac:dyDescent="0.25">
      <c r="A204" s="84"/>
      <c r="B204" s="342" t="s">
        <v>344</v>
      </c>
      <c r="C204" s="268"/>
      <c r="D204" s="268"/>
      <c r="E204" s="268"/>
      <c r="F204" s="268"/>
      <c r="G204" s="268"/>
      <c r="H204" s="268"/>
      <c r="I204" s="268"/>
      <c r="J204" s="268"/>
      <c r="K204" s="268"/>
      <c r="L204" s="268"/>
      <c r="M204" s="268"/>
    </row>
    <row r="205" spans="1:13" x14ac:dyDescent="0.25">
      <c r="A205" s="84">
        <v>64</v>
      </c>
      <c r="B205" s="91" t="s">
        <v>83</v>
      </c>
      <c r="C205" s="91" t="s">
        <v>88</v>
      </c>
      <c r="D205" s="91" t="s">
        <v>239</v>
      </c>
      <c r="E205" s="91" t="s">
        <v>79</v>
      </c>
      <c r="F205" s="84" t="s">
        <v>80</v>
      </c>
      <c r="G205" s="91" t="s">
        <v>239</v>
      </c>
      <c r="H205" s="91" t="s">
        <v>79</v>
      </c>
      <c r="I205" s="84" t="s">
        <v>80</v>
      </c>
      <c r="J205" s="204">
        <v>0</v>
      </c>
      <c r="K205" s="204">
        <v>0</v>
      </c>
      <c r="L205" s="204">
        <v>0</v>
      </c>
      <c r="M205" s="84" t="s">
        <v>243</v>
      </c>
    </row>
    <row r="206" spans="1:13" x14ac:dyDescent="0.25">
      <c r="A206" s="87"/>
      <c r="B206" s="86"/>
      <c r="C206" s="86" t="s">
        <v>337</v>
      </c>
      <c r="D206" s="86"/>
      <c r="E206" s="86"/>
      <c r="F206" s="87"/>
      <c r="G206" s="86"/>
      <c r="H206" s="86"/>
      <c r="I206" s="87"/>
      <c r="J206" s="290"/>
      <c r="K206" s="290"/>
      <c r="L206" s="290"/>
      <c r="M206" s="87"/>
    </row>
    <row r="207" spans="1:13" x14ac:dyDescent="0.25">
      <c r="A207" s="360"/>
      <c r="B207" s="277" t="s">
        <v>219</v>
      </c>
      <c r="C207" s="361"/>
      <c r="D207" s="361"/>
      <c r="E207" s="361"/>
      <c r="F207" s="361"/>
      <c r="G207" s="361"/>
      <c r="H207" s="361"/>
      <c r="I207" s="361"/>
      <c r="J207" s="361"/>
      <c r="K207" s="361"/>
      <c r="L207" s="361"/>
      <c r="M207" s="361"/>
    </row>
    <row r="208" spans="1:13" x14ac:dyDescent="0.25">
      <c r="A208" s="84">
        <v>65</v>
      </c>
      <c r="B208" s="91" t="s">
        <v>86</v>
      </c>
      <c r="C208" s="91" t="s">
        <v>88</v>
      </c>
      <c r="D208" s="84" t="s">
        <v>80</v>
      </c>
      <c r="E208" s="91" t="s">
        <v>191</v>
      </c>
      <c r="F208" s="84" t="s">
        <v>80</v>
      </c>
      <c r="G208" s="84" t="s">
        <v>80</v>
      </c>
      <c r="H208" s="91" t="s">
        <v>191</v>
      </c>
      <c r="I208" s="84" t="s">
        <v>80</v>
      </c>
      <c r="J208" s="289">
        <f>(14680-9400)*12</f>
        <v>63360</v>
      </c>
      <c r="K208" s="204">
        <v>0</v>
      </c>
      <c r="L208" s="204">
        <v>0</v>
      </c>
      <c r="M208" s="102">
        <f>J208</f>
        <v>63360</v>
      </c>
    </row>
    <row r="209" spans="1:13" x14ac:dyDescent="0.25">
      <c r="A209" s="84"/>
      <c r="B209" s="91"/>
      <c r="C209" s="91" t="s">
        <v>337</v>
      </c>
      <c r="D209" s="84"/>
      <c r="E209" s="91"/>
      <c r="F209" s="84"/>
      <c r="G209" s="84"/>
      <c r="H209" s="91"/>
      <c r="I209" s="84"/>
      <c r="J209" s="168" t="s">
        <v>451</v>
      </c>
      <c r="K209" s="204"/>
      <c r="L209" s="204"/>
      <c r="M209" s="91"/>
    </row>
    <row r="210" spans="1:13" x14ac:dyDescent="0.25">
      <c r="A210" s="94"/>
      <c r="B210" s="292" t="s">
        <v>21</v>
      </c>
      <c r="C210" s="95"/>
      <c r="D210" s="94"/>
      <c r="E210" s="95"/>
      <c r="F210" s="94"/>
      <c r="G210" s="94"/>
      <c r="H210" s="95"/>
      <c r="I210" s="94"/>
      <c r="J210" s="189"/>
      <c r="K210" s="104"/>
      <c r="L210" s="104"/>
      <c r="M210" s="95"/>
    </row>
    <row r="211" spans="1:13" x14ac:dyDescent="0.25">
      <c r="A211" s="275">
        <v>66</v>
      </c>
      <c r="B211" s="427" t="s">
        <v>448</v>
      </c>
      <c r="C211" s="268" t="s">
        <v>449</v>
      </c>
      <c r="D211" s="275" t="s">
        <v>80</v>
      </c>
      <c r="E211" s="268" t="s">
        <v>211</v>
      </c>
      <c r="F211" s="275" t="s">
        <v>80</v>
      </c>
      <c r="G211" s="275" t="s">
        <v>80</v>
      </c>
      <c r="H211" s="268" t="s">
        <v>211</v>
      </c>
      <c r="I211" s="268"/>
      <c r="J211" s="291">
        <f t="shared" ref="J211" si="3">9000*12</f>
        <v>108000</v>
      </c>
      <c r="K211" s="204">
        <v>0</v>
      </c>
      <c r="L211" s="204">
        <v>0</v>
      </c>
      <c r="M211" s="428">
        <f>J211</f>
        <v>108000</v>
      </c>
    </row>
    <row r="212" spans="1:13" ht="15.75" thickBot="1" x14ac:dyDescent="0.3">
      <c r="A212" s="350"/>
      <c r="B212" s="451"/>
      <c r="C212" s="99" t="s">
        <v>450</v>
      </c>
      <c r="D212" s="350"/>
      <c r="E212" s="351"/>
      <c r="F212" s="350"/>
      <c r="G212" s="350"/>
      <c r="H212" s="351"/>
      <c r="I212" s="351"/>
      <c r="J212" s="350" t="s">
        <v>222</v>
      </c>
      <c r="K212" s="350"/>
      <c r="L212" s="350"/>
      <c r="M212" s="351"/>
    </row>
    <row r="213" spans="1:13" x14ac:dyDescent="0.25">
      <c r="A213" s="452"/>
      <c r="B213" s="352" t="s">
        <v>455</v>
      </c>
      <c r="C213" s="453"/>
      <c r="D213" s="453"/>
      <c r="E213" s="453"/>
      <c r="F213" s="453"/>
      <c r="G213" s="453"/>
      <c r="H213" s="453"/>
      <c r="I213" s="453"/>
      <c r="J213" s="453"/>
      <c r="K213" s="453"/>
      <c r="L213" s="453"/>
      <c r="M213" s="453"/>
    </row>
    <row r="214" spans="1:13" x14ac:dyDescent="0.25">
      <c r="A214" s="275"/>
      <c r="B214" s="101" t="s">
        <v>50</v>
      </c>
      <c r="C214" s="268"/>
      <c r="D214" s="268"/>
      <c r="E214" s="268"/>
      <c r="F214" s="268"/>
      <c r="G214" s="268"/>
      <c r="H214" s="268"/>
      <c r="I214" s="268"/>
      <c r="J214" s="291"/>
      <c r="K214" s="454"/>
      <c r="L214" s="268"/>
      <c r="M214" s="268"/>
    </row>
    <row r="215" spans="1:13" x14ac:dyDescent="0.25">
      <c r="A215" s="275">
        <v>67</v>
      </c>
      <c r="B215" s="293" t="s">
        <v>80</v>
      </c>
      <c r="C215" s="275" t="s">
        <v>80</v>
      </c>
      <c r="D215" s="84" t="s">
        <v>80</v>
      </c>
      <c r="E215" s="275" t="s">
        <v>80</v>
      </c>
      <c r="F215" s="275" t="s">
        <v>80</v>
      </c>
      <c r="G215" s="91" t="s">
        <v>457</v>
      </c>
      <c r="H215" s="268" t="s">
        <v>456</v>
      </c>
      <c r="I215" s="268" t="s">
        <v>392</v>
      </c>
      <c r="J215" s="129">
        <f>((49480+9740)/2)*12</f>
        <v>355320</v>
      </c>
      <c r="K215" s="93">
        <v>0</v>
      </c>
      <c r="L215" s="93">
        <v>0</v>
      </c>
      <c r="M215" s="102" t="s">
        <v>458</v>
      </c>
    </row>
    <row r="216" spans="1:13" ht="15.75" thickBot="1" x14ac:dyDescent="0.3">
      <c r="A216" s="350"/>
      <c r="B216" s="351"/>
      <c r="C216" s="351"/>
      <c r="D216" s="351"/>
      <c r="E216" s="351"/>
      <c r="F216" s="351"/>
      <c r="G216" s="351"/>
      <c r="H216" s="351"/>
      <c r="I216" s="351"/>
      <c r="J216" s="455" t="s">
        <v>424</v>
      </c>
      <c r="K216" s="100"/>
      <c r="L216" s="100"/>
      <c r="M216" s="456"/>
    </row>
  </sheetData>
  <mergeCells count="91">
    <mergeCell ref="A67:A69"/>
    <mergeCell ref="B67:B69"/>
    <mergeCell ref="D67:F67"/>
    <mergeCell ref="G67:I67"/>
    <mergeCell ref="J67:L67"/>
    <mergeCell ref="D68:D69"/>
    <mergeCell ref="E68:E69"/>
    <mergeCell ref="F68:F69"/>
    <mergeCell ref="G68:G69"/>
    <mergeCell ref="H68:H69"/>
    <mergeCell ref="I68:I69"/>
    <mergeCell ref="J68:J69"/>
    <mergeCell ref="K68:K69"/>
    <mergeCell ref="J4:J5"/>
    <mergeCell ref="K4:K5"/>
    <mergeCell ref="A3:A5"/>
    <mergeCell ref="B3:B5"/>
    <mergeCell ref="D3:F3"/>
    <mergeCell ref="G3:I3"/>
    <mergeCell ref="J3:L3"/>
    <mergeCell ref="D4:D5"/>
    <mergeCell ref="E4:E5"/>
    <mergeCell ref="F4:F5"/>
    <mergeCell ref="G4:G5"/>
    <mergeCell ref="H4:H5"/>
    <mergeCell ref="I4:I5"/>
    <mergeCell ref="A36:A38"/>
    <mergeCell ref="B36:B38"/>
    <mergeCell ref="D36:F36"/>
    <mergeCell ref="G36:I36"/>
    <mergeCell ref="J36:L36"/>
    <mergeCell ref="D37:D38"/>
    <mergeCell ref="E37:E38"/>
    <mergeCell ref="F37:F38"/>
    <mergeCell ref="G37:G38"/>
    <mergeCell ref="H37:H38"/>
    <mergeCell ref="I37:I38"/>
    <mergeCell ref="J37:J38"/>
    <mergeCell ref="K37:K38"/>
    <mergeCell ref="A100:A102"/>
    <mergeCell ref="B100:B102"/>
    <mergeCell ref="D100:F100"/>
    <mergeCell ref="G100:I100"/>
    <mergeCell ref="J100:L100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A168:A170"/>
    <mergeCell ref="B168:B170"/>
    <mergeCell ref="D168:F168"/>
    <mergeCell ref="G168:I168"/>
    <mergeCell ref="J168:L168"/>
    <mergeCell ref="D169:D170"/>
    <mergeCell ref="E169:E170"/>
    <mergeCell ref="F169:F170"/>
    <mergeCell ref="G169:G170"/>
    <mergeCell ref="H169:H170"/>
    <mergeCell ref="I169:I170"/>
    <mergeCell ref="J169:J170"/>
    <mergeCell ref="K169:K170"/>
    <mergeCell ref="A135:A137"/>
    <mergeCell ref="B135:B137"/>
    <mergeCell ref="D135:F135"/>
    <mergeCell ref="G135:I135"/>
    <mergeCell ref="J135:L135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A201:A203"/>
    <mergeCell ref="B201:B203"/>
    <mergeCell ref="D201:F201"/>
    <mergeCell ref="G201:I201"/>
    <mergeCell ref="J201:L201"/>
    <mergeCell ref="D202:D203"/>
    <mergeCell ref="E202:E203"/>
    <mergeCell ref="F202:F203"/>
    <mergeCell ref="G202:G203"/>
    <mergeCell ref="H202:H203"/>
    <mergeCell ref="I202:I203"/>
    <mergeCell ref="J202:J203"/>
    <mergeCell ref="K202:K203"/>
  </mergeCells>
  <pageMargins left="0.39370078740157483" right="0.11811023622047245" top="0.74803149606299213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6"/>
  <sheetViews>
    <sheetView topLeftCell="A25" zoomScale="170" zoomScaleNormal="170" workbookViewId="0">
      <selection activeCell="E44" sqref="E44"/>
    </sheetView>
  </sheetViews>
  <sheetFormatPr defaultRowHeight="15" x14ac:dyDescent="0.25"/>
  <cols>
    <col min="1" max="1" width="2.75" style="475" customWidth="1"/>
    <col min="2" max="2" width="17.875" style="81" customWidth="1"/>
    <col min="3" max="3" width="9.5" style="81" customWidth="1"/>
    <col min="4" max="4" width="9.375" style="81" customWidth="1"/>
    <col min="5" max="5" width="16.5" style="81" customWidth="1"/>
    <col min="6" max="6" width="5.25" style="81" customWidth="1"/>
    <col min="7" max="7" width="9.25" style="81" customWidth="1"/>
    <col min="8" max="8" width="17.25" style="81" customWidth="1"/>
    <col min="9" max="9" width="5.375" style="81" customWidth="1"/>
    <col min="10" max="10" width="10" style="81" bestFit="1" customWidth="1"/>
    <col min="11" max="11" width="9" style="81" customWidth="1"/>
    <col min="12" max="12" width="8.625" style="81" customWidth="1"/>
    <col min="13" max="13" width="7.875" style="81" customWidth="1"/>
    <col min="14" max="16384" width="9" style="81"/>
  </cols>
  <sheetData>
    <row r="1" spans="1:13" x14ac:dyDescent="0.25">
      <c r="A1" s="525" t="s">
        <v>468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ht="18.75" customHeight="1" x14ac:dyDescent="0.25">
      <c r="A2" s="526" t="s">
        <v>469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</row>
    <row r="3" spans="1:13" ht="15" customHeight="1" x14ac:dyDescent="0.25">
      <c r="A3" s="515" t="s">
        <v>1</v>
      </c>
      <c r="B3" s="515" t="s">
        <v>32</v>
      </c>
      <c r="C3" s="82" t="s">
        <v>33</v>
      </c>
      <c r="D3" s="518" t="s">
        <v>34</v>
      </c>
      <c r="E3" s="519"/>
      <c r="F3" s="519"/>
      <c r="G3" s="518" t="s">
        <v>35</v>
      </c>
      <c r="H3" s="519"/>
      <c r="I3" s="520"/>
      <c r="J3" s="521" t="s">
        <v>36</v>
      </c>
      <c r="K3" s="522"/>
      <c r="L3" s="523"/>
      <c r="M3" s="83"/>
    </row>
    <row r="4" spans="1:13" ht="15" customHeight="1" x14ac:dyDescent="0.25">
      <c r="A4" s="516"/>
      <c r="B4" s="516"/>
      <c r="C4" s="84" t="s">
        <v>37</v>
      </c>
      <c r="D4" s="515" t="s">
        <v>38</v>
      </c>
      <c r="E4" s="515" t="s">
        <v>39</v>
      </c>
      <c r="F4" s="515" t="s">
        <v>40</v>
      </c>
      <c r="G4" s="515" t="s">
        <v>38</v>
      </c>
      <c r="H4" s="515" t="s">
        <v>39</v>
      </c>
      <c r="I4" s="515" t="s">
        <v>40</v>
      </c>
      <c r="J4" s="515" t="s">
        <v>36</v>
      </c>
      <c r="K4" s="515" t="s">
        <v>41</v>
      </c>
      <c r="L4" s="82" t="s">
        <v>232</v>
      </c>
      <c r="M4" s="472" t="s">
        <v>42</v>
      </c>
    </row>
    <row r="5" spans="1:13" ht="15" customHeight="1" x14ac:dyDescent="0.25">
      <c r="A5" s="517"/>
      <c r="B5" s="517"/>
      <c r="C5" s="86"/>
      <c r="D5" s="517"/>
      <c r="E5" s="517"/>
      <c r="F5" s="517"/>
      <c r="G5" s="517"/>
      <c r="H5" s="517"/>
      <c r="I5" s="517"/>
      <c r="J5" s="517"/>
      <c r="K5" s="517"/>
      <c r="L5" s="87" t="s">
        <v>233</v>
      </c>
      <c r="M5" s="88"/>
    </row>
    <row r="6" spans="1:13" ht="15" customHeight="1" x14ac:dyDescent="0.25">
      <c r="A6" s="82">
        <v>1</v>
      </c>
      <c r="B6" s="83" t="s">
        <v>43</v>
      </c>
      <c r="C6" s="83" t="s">
        <v>304</v>
      </c>
      <c r="D6" s="83" t="s">
        <v>44</v>
      </c>
      <c r="E6" s="83" t="s">
        <v>11</v>
      </c>
      <c r="F6" s="82" t="s">
        <v>45</v>
      </c>
      <c r="G6" s="83" t="s">
        <v>44</v>
      </c>
      <c r="H6" s="83" t="s">
        <v>11</v>
      </c>
      <c r="I6" s="82" t="s">
        <v>45</v>
      </c>
      <c r="J6" s="89">
        <f>41250*12</f>
        <v>495000</v>
      </c>
      <c r="K6" s="89">
        <f>7000*12</f>
        <v>84000</v>
      </c>
      <c r="L6" s="89">
        <f>7000*12</f>
        <v>84000</v>
      </c>
      <c r="M6" s="90">
        <f>SUM(J6:L6)</f>
        <v>663000</v>
      </c>
    </row>
    <row r="7" spans="1:13" ht="15" customHeight="1" x14ac:dyDescent="0.25">
      <c r="A7" s="84"/>
      <c r="B7" s="91"/>
      <c r="C7" s="91" t="s">
        <v>305</v>
      </c>
      <c r="D7" s="92"/>
      <c r="E7" s="92" t="s">
        <v>46</v>
      </c>
      <c r="F7" s="84"/>
      <c r="G7" s="92"/>
      <c r="H7" s="92" t="s">
        <v>46</v>
      </c>
      <c r="I7" s="84"/>
      <c r="J7" s="256" t="s">
        <v>407</v>
      </c>
      <c r="K7" s="256" t="s">
        <v>213</v>
      </c>
      <c r="L7" s="256" t="s">
        <v>213</v>
      </c>
      <c r="M7" s="91"/>
    </row>
    <row r="8" spans="1:13" ht="15" customHeight="1" x14ac:dyDescent="0.25">
      <c r="A8" s="94">
        <v>2</v>
      </c>
      <c r="B8" s="259" t="s">
        <v>199</v>
      </c>
      <c r="C8" s="95" t="s">
        <v>88</v>
      </c>
      <c r="D8" s="91" t="s">
        <v>48</v>
      </c>
      <c r="E8" s="95" t="s">
        <v>12</v>
      </c>
      <c r="F8" s="94" t="s">
        <v>49</v>
      </c>
      <c r="G8" s="91" t="s">
        <v>48</v>
      </c>
      <c r="H8" s="95" t="s">
        <v>12</v>
      </c>
      <c r="I8" s="94" t="s">
        <v>49</v>
      </c>
      <c r="J8" s="96">
        <f>32450*12</f>
        <v>389400</v>
      </c>
      <c r="K8" s="96">
        <f>3500*12</f>
        <v>42000</v>
      </c>
      <c r="L8" s="96">
        <v>0</v>
      </c>
      <c r="M8" s="97">
        <f>SUM(J8:L8)</f>
        <v>431400</v>
      </c>
    </row>
    <row r="9" spans="1:13" ht="15" customHeight="1" thickBot="1" x14ac:dyDescent="0.3">
      <c r="A9" s="98"/>
      <c r="B9" s="99"/>
      <c r="C9" s="99" t="s">
        <v>200</v>
      </c>
      <c r="D9" s="99"/>
      <c r="E9" s="99" t="s">
        <v>46</v>
      </c>
      <c r="F9" s="98"/>
      <c r="G9" s="99"/>
      <c r="H9" s="99" t="s">
        <v>46</v>
      </c>
      <c r="I9" s="98"/>
      <c r="J9" s="265" t="s">
        <v>229</v>
      </c>
      <c r="K9" s="265" t="s">
        <v>214</v>
      </c>
      <c r="L9" s="100"/>
      <c r="M9" s="99"/>
    </row>
    <row r="10" spans="1:13" ht="15" customHeight="1" x14ac:dyDescent="0.25">
      <c r="A10" s="344"/>
      <c r="B10" s="345" t="s">
        <v>463</v>
      </c>
      <c r="C10" s="346"/>
      <c r="D10" s="346"/>
      <c r="E10" s="346"/>
      <c r="F10" s="344"/>
      <c r="G10" s="346"/>
      <c r="H10" s="346"/>
      <c r="I10" s="344"/>
      <c r="J10" s="347"/>
      <c r="K10" s="347"/>
      <c r="L10" s="348"/>
      <c r="M10" s="346"/>
    </row>
    <row r="11" spans="1:13" ht="15" customHeight="1" x14ac:dyDescent="0.25">
      <c r="A11" s="84"/>
      <c r="B11" s="111" t="s">
        <v>50</v>
      </c>
      <c r="C11" s="91"/>
      <c r="D11" s="91"/>
      <c r="E11" s="91"/>
      <c r="F11" s="84"/>
      <c r="G11" s="91"/>
      <c r="H11" s="91"/>
      <c r="I11" s="84"/>
      <c r="J11" s="256"/>
      <c r="K11" s="256"/>
      <c r="L11" s="93"/>
      <c r="M11" s="91"/>
    </row>
    <row r="12" spans="1:13" ht="15" customHeight="1" x14ac:dyDescent="0.25">
      <c r="A12" s="84">
        <v>3</v>
      </c>
      <c r="B12" s="91" t="s">
        <v>51</v>
      </c>
      <c r="C12" s="91" t="s">
        <v>306</v>
      </c>
      <c r="D12" s="91" t="s">
        <v>52</v>
      </c>
      <c r="E12" s="91" t="s">
        <v>14</v>
      </c>
      <c r="F12" s="84" t="s">
        <v>49</v>
      </c>
      <c r="G12" s="91" t="s">
        <v>52</v>
      </c>
      <c r="H12" s="91" t="s">
        <v>14</v>
      </c>
      <c r="I12" s="84" t="s">
        <v>49</v>
      </c>
      <c r="J12" s="93">
        <f>35220*12</f>
        <v>422640</v>
      </c>
      <c r="K12" s="93">
        <f>3500*12</f>
        <v>42000</v>
      </c>
      <c r="L12" s="93">
        <v>0</v>
      </c>
      <c r="M12" s="102">
        <f>SUM(J12:L12)</f>
        <v>464640</v>
      </c>
    </row>
    <row r="13" spans="1:13" ht="15" customHeight="1" x14ac:dyDescent="0.25">
      <c r="A13" s="105"/>
      <c r="B13" s="92"/>
      <c r="C13" s="92" t="s">
        <v>307</v>
      </c>
      <c r="D13" s="92"/>
      <c r="E13" s="92" t="s">
        <v>53</v>
      </c>
      <c r="F13" s="105"/>
      <c r="G13" s="92"/>
      <c r="H13" s="92" t="s">
        <v>53</v>
      </c>
      <c r="I13" s="105"/>
      <c r="J13" s="108" t="s">
        <v>408</v>
      </c>
      <c r="K13" s="108" t="s">
        <v>216</v>
      </c>
      <c r="L13" s="108"/>
      <c r="M13" s="92"/>
    </row>
    <row r="14" spans="1:13" ht="15" customHeight="1" x14ac:dyDescent="0.25">
      <c r="A14" s="84">
        <v>4</v>
      </c>
      <c r="B14" s="91" t="s">
        <v>245</v>
      </c>
      <c r="C14" s="91" t="s">
        <v>308</v>
      </c>
      <c r="D14" s="91" t="s">
        <v>68</v>
      </c>
      <c r="E14" s="91" t="s">
        <v>69</v>
      </c>
      <c r="F14" s="84" t="s">
        <v>56</v>
      </c>
      <c r="G14" s="91" t="s">
        <v>68</v>
      </c>
      <c r="H14" s="91" t="s">
        <v>69</v>
      </c>
      <c r="I14" s="84" t="s">
        <v>56</v>
      </c>
      <c r="J14" s="93">
        <v>0</v>
      </c>
      <c r="K14" s="93">
        <v>0</v>
      </c>
      <c r="L14" s="93">
        <v>0</v>
      </c>
      <c r="M14" s="270" t="s">
        <v>223</v>
      </c>
    </row>
    <row r="15" spans="1:13" ht="15" customHeight="1" x14ac:dyDescent="0.25">
      <c r="A15" s="84"/>
      <c r="B15" s="91"/>
      <c r="C15" s="91" t="s">
        <v>309</v>
      </c>
      <c r="D15" s="91"/>
      <c r="E15" s="91"/>
      <c r="F15" s="84"/>
      <c r="G15" s="91"/>
      <c r="H15" s="91"/>
      <c r="I15" s="84"/>
      <c r="J15" s="129"/>
      <c r="K15" s="93"/>
      <c r="L15" s="93"/>
      <c r="M15" s="84"/>
    </row>
    <row r="16" spans="1:13" ht="15" customHeight="1" x14ac:dyDescent="0.25">
      <c r="A16" s="94">
        <v>5</v>
      </c>
      <c r="B16" s="95" t="s">
        <v>59</v>
      </c>
      <c r="C16" s="95" t="s">
        <v>308</v>
      </c>
      <c r="D16" s="95" t="s">
        <v>60</v>
      </c>
      <c r="E16" s="95" t="s">
        <v>61</v>
      </c>
      <c r="F16" s="94" t="s">
        <v>56</v>
      </c>
      <c r="G16" s="95" t="s">
        <v>60</v>
      </c>
      <c r="H16" s="95" t="s">
        <v>61</v>
      </c>
      <c r="I16" s="94" t="s">
        <v>56</v>
      </c>
      <c r="J16" s="422">
        <f>35220*12</f>
        <v>422640</v>
      </c>
      <c r="K16" s="96">
        <v>0</v>
      </c>
      <c r="L16" s="96">
        <v>0</v>
      </c>
      <c r="M16" s="238">
        <f>J16</f>
        <v>422640</v>
      </c>
    </row>
    <row r="17" spans="1:25" ht="15" customHeight="1" x14ac:dyDescent="0.25">
      <c r="A17" s="105"/>
      <c r="B17" s="92"/>
      <c r="C17" s="92" t="s">
        <v>309</v>
      </c>
      <c r="D17" s="92"/>
      <c r="E17" s="92"/>
      <c r="F17" s="105"/>
      <c r="G17" s="92"/>
      <c r="H17" s="92"/>
      <c r="I17" s="105"/>
      <c r="J17" s="423" t="s">
        <v>408</v>
      </c>
      <c r="K17" s="108"/>
      <c r="L17" s="108"/>
      <c r="M17" s="105"/>
    </row>
    <row r="18" spans="1:25" s="268" customFormat="1" ht="15" customHeight="1" x14ac:dyDescent="0.25">
      <c r="A18" s="94">
        <v>6</v>
      </c>
      <c r="B18" s="259" t="s">
        <v>215</v>
      </c>
      <c r="C18" s="95" t="s">
        <v>88</v>
      </c>
      <c r="D18" s="95" t="s">
        <v>54</v>
      </c>
      <c r="E18" s="95" t="s">
        <v>55</v>
      </c>
      <c r="F18" s="94" t="s">
        <v>65</v>
      </c>
      <c r="G18" s="95" t="s">
        <v>54</v>
      </c>
      <c r="H18" s="95" t="s">
        <v>55</v>
      </c>
      <c r="I18" s="94" t="s">
        <v>65</v>
      </c>
      <c r="J18" s="422">
        <f>17570*12</f>
        <v>210840</v>
      </c>
      <c r="K18" s="96">
        <v>0</v>
      </c>
      <c r="L18" s="96">
        <v>0</v>
      </c>
      <c r="M18" s="238">
        <f>J18</f>
        <v>210840</v>
      </c>
      <c r="N18" s="281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</row>
    <row r="19" spans="1:25" s="268" customFormat="1" ht="15" customHeight="1" x14ac:dyDescent="0.25">
      <c r="A19" s="84"/>
      <c r="B19" s="261"/>
      <c r="C19" s="91" t="s">
        <v>305</v>
      </c>
      <c r="D19" s="91"/>
      <c r="E19" s="91"/>
      <c r="F19" s="84"/>
      <c r="G19" s="91"/>
      <c r="H19" s="91"/>
      <c r="I19" s="84"/>
      <c r="J19" s="424" t="s">
        <v>225</v>
      </c>
      <c r="K19" s="93"/>
      <c r="L19" s="93"/>
      <c r="M19" s="84"/>
      <c r="N19" s="281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</row>
    <row r="20" spans="1:25" s="268" customFormat="1" ht="15" customHeight="1" x14ac:dyDescent="0.25">
      <c r="A20" s="94">
        <v>7</v>
      </c>
      <c r="B20" s="259" t="s">
        <v>244</v>
      </c>
      <c r="C20" s="95" t="s">
        <v>312</v>
      </c>
      <c r="D20" s="95" t="s">
        <v>67</v>
      </c>
      <c r="E20" s="95" t="s">
        <v>66</v>
      </c>
      <c r="F20" s="94" t="s">
        <v>56</v>
      </c>
      <c r="G20" s="95" t="s">
        <v>67</v>
      </c>
      <c r="H20" s="95" t="s">
        <v>66</v>
      </c>
      <c r="I20" s="94" t="s">
        <v>56</v>
      </c>
      <c r="J20" s="422">
        <f>30790*12</f>
        <v>369480</v>
      </c>
      <c r="K20" s="96">
        <v>0</v>
      </c>
      <c r="L20" s="96">
        <v>0</v>
      </c>
      <c r="M20" s="238">
        <f>J20</f>
        <v>369480</v>
      </c>
      <c r="N20" s="281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</row>
    <row r="21" spans="1:25" s="268" customFormat="1" ht="15" customHeight="1" x14ac:dyDescent="0.25">
      <c r="A21" s="105"/>
      <c r="B21" s="260"/>
      <c r="C21" s="92" t="s">
        <v>313</v>
      </c>
      <c r="D21" s="92"/>
      <c r="E21" s="92"/>
      <c r="F21" s="105"/>
      <c r="G21" s="92"/>
      <c r="H21" s="92"/>
      <c r="I21" s="105"/>
      <c r="J21" s="423" t="s">
        <v>411</v>
      </c>
      <c r="K21" s="108"/>
      <c r="L21" s="108"/>
      <c r="M21" s="105"/>
      <c r="N21" s="281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</row>
    <row r="22" spans="1:25" s="268" customFormat="1" ht="15" customHeight="1" x14ac:dyDescent="0.25">
      <c r="A22" s="94">
        <v>8</v>
      </c>
      <c r="B22" s="259" t="s">
        <v>210</v>
      </c>
      <c r="C22" s="95" t="s">
        <v>310</v>
      </c>
      <c r="D22" s="95" t="s">
        <v>58</v>
      </c>
      <c r="E22" s="95" t="s">
        <v>57</v>
      </c>
      <c r="F22" s="94" t="s">
        <v>65</v>
      </c>
      <c r="G22" s="95" t="s">
        <v>58</v>
      </c>
      <c r="H22" s="95" t="s">
        <v>57</v>
      </c>
      <c r="I22" s="94" t="s">
        <v>65</v>
      </c>
      <c r="J22" s="422">
        <f>15420*12</f>
        <v>185040</v>
      </c>
      <c r="K22" s="96">
        <v>0</v>
      </c>
      <c r="L22" s="96">
        <v>0</v>
      </c>
      <c r="M22" s="238">
        <f>J22</f>
        <v>185040</v>
      </c>
      <c r="N22" s="281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</row>
    <row r="23" spans="1:25" s="268" customFormat="1" ht="15" customHeight="1" x14ac:dyDescent="0.25">
      <c r="A23" s="105"/>
      <c r="B23" s="260"/>
      <c r="C23" s="92" t="s">
        <v>314</v>
      </c>
      <c r="D23" s="92"/>
      <c r="E23" s="92"/>
      <c r="F23" s="105"/>
      <c r="G23" s="92"/>
      <c r="H23" s="92"/>
      <c r="I23" s="105"/>
      <c r="J23" s="423" t="s">
        <v>409</v>
      </c>
      <c r="K23" s="108"/>
      <c r="L23" s="108"/>
      <c r="M23" s="105"/>
      <c r="N23" s="281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</row>
    <row r="24" spans="1:25" s="268" customFormat="1" ht="15" customHeight="1" x14ac:dyDescent="0.25">
      <c r="A24" s="94">
        <v>9</v>
      </c>
      <c r="B24" s="236" t="s">
        <v>62</v>
      </c>
      <c r="C24" s="95" t="s">
        <v>310</v>
      </c>
      <c r="D24" s="95" t="s">
        <v>64</v>
      </c>
      <c r="E24" s="95" t="s">
        <v>63</v>
      </c>
      <c r="F24" s="94" t="s">
        <v>56</v>
      </c>
      <c r="G24" s="95" t="s">
        <v>64</v>
      </c>
      <c r="H24" s="95" t="s">
        <v>63</v>
      </c>
      <c r="I24" s="94" t="s">
        <v>56</v>
      </c>
      <c r="J24" s="104">
        <f>27480*12</f>
        <v>329760</v>
      </c>
      <c r="K24" s="96">
        <v>0</v>
      </c>
      <c r="L24" s="96">
        <v>0</v>
      </c>
      <c r="M24" s="238">
        <f>J24</f>
        <v>329760</v>
      </c>
      <c r="N24" s="281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</row>
    <row r="25" spans="1:25" s="268" customFormat="1" ht="15" customHeight="1" x14ac:dyDescent="0.25">
      <c r="A25" s="105"/>
      <c r="B25" s="106"/>
      <c r="C25" s="92" t="s">
        <v>311</v>
      </c>
      <c r="D25" s="92"/>
      <c r="E25" s="92"/>
      <c r="F25" s="105"/>
      <c r="G25" s="92"/>
      <c r="H25" s="92"/>
      <c r="I25" s="105"/>
      <c r="J25" s="282" t="s">
        <v>410</v>
      </c>
      <c r="K25" s="108"/>
      <c r="L25" s="108"/>
      <c r="M25" s="105"/>
      <c r="N25" s="281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</row>
    <row r="26" spans="1:25" s="268" customFormat="1" ht="15" customHeight="1" x14ac:dyDescent="0.25">
      <c r="A26" s="84">
        <v>10</v>
      </c>
      <c r="B26" s="91" t="s">
        <v>74</v>
      </c>
      <c r="C26" s="91" t="s">
        <v>207</v>
      </c>
      <c r="D26" s="91" t="s">
        <v>75</v>
      </c>
      <c r="E26" s="91" t="s">
        <v>76</v>
      </c>
      <c r="F26" s="273" t="s">
        <v>77</v>
      </c>
      <c r="G26" s="91" t="s">
        <v>75</v>
      </c>
      <c r="H26" s="91" t="s">
        <v>76</v>
      </c>
      <c r="I26" s="273" t="s">
        <v>77</v>
      </c>
      <c r="J26" s="425">
        <f>15140*12</f>
        <v>181680</v>
      </c>
      <c r="K26" s="93">
        <v>0</v>
      </c>
      <c r="L26" s="93">
        <v>0</v>
      </c>
      <c r="M26" s="270">
        <f>J26</f>
        <v>181680</v>
      </c>
      <c r="N26" s="281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</row>
    <row r="27" spans="1:25" s="268" customFormat="1" ht="15" customHeight="1" x14ac:dyDescent="0.25">
      <c r="A27" s="84"/>
      <c r="C27" s="91" t="s">
        <v>317</v>
      </c>
      <c r="J27" s="275" t="s">
        <v>412</v>
      </c>
      <c r="N27" s="281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</row>
    <row r="28" spans="1:25" s="268" customFormat="1" ht="15" customHeight="1" x14ac:dyDescent="0.25">
      <c r="A28" s="94">
        <v>11</v>
      </c>
      <c r="B28" s="259" t="s">
        <v>201</v>
      </c>
      <c r="C28" s="95" t="s">
        <v>315</v>
      </c>
      <c r="D28" s="95" t="s">
        <v>70</v>
      </c>
      <c r="E28" s="95" t="s">
        <v>363</v>
      </c>
      <c r="F28" s="266" t="s">
        <v>202</v>
      </c>
      <c r="G28" s="95" t="s">
        <v>70</v>
      </c>
      <c r="H28" s="95" t="s">
        <v>363</v>
      </c>
      <c r="I28" s="266" t="s">
        <v>77</v>
      </c>
      <c r="J28" s="422">
        <f>11700*12</f>
        <v>140400</v>
      </c>
      <c r="K28" s="96">
        <v>0</v>
      </c>
      <c r="L28" s="96">
        <v>0</v>
      </c>
      <c r="M28" s="238">
        <f>J28</f>
        <v>140400</v>
      </c>
      <c r="N28" s="281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</row>
    <row r="29" spans="1:25" s="268" customFormat="1" ht="15" customHeight="1" x14ac:dyDescent="0.25">
      <c r="A29" s="105"/>
      <c r="B29" s="260"/>
      <c r="C29" s="92" t="s">
        <v>316</v>
      </c>
      <c r="D29" s="92"/>
      <c r="E29" s="92"/>
      <c r="F29" s="274"/>
      <c r="G29" s="92"/>
      <c r="H29" s="92"/>
      <c r="I29" s="274"/>
      <c r="J29" s="423" t="s">
        <v>413</v>
      </c>
      <c r="K29" s="108"/>
      <c r="L29" s="108"/>
      <c r="M29" s="105"/>
      <c r="N29" s="281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</row>
    <row r="30" spans="1:25" s="268" customFormat="1" ht="15" customHeight="1" x14ac:dyDescent="0.25">
      <c r="A30" s="94">
        <v>12</v>
      </c>
      <c r="B30" s="267" t="s">
        <v>47</v>
      </c>
      <c r="C30" s="95"/>
      <c r="D30" s="94" t="s">
        <v>73</v>
      </c>
      <c r="E30" s="95" t="s">
        <v>72</v>
      </c>
      <c r="F30" s="266" t="s">
        <v>71</v>
      </c>
      <c r="G30" s="94" t="s">
        <v>73</v>
      </c>
      <c r="H30" s="95" t="s">
        <v>72</v>
      </c>
      <c r="I30" s="266" t="s">
        <v>71</v>
      </c>
      <c r="J30" s="422">
        <f>((8750+40900)/2)*12</f>
        <v>297900</v>
      </c>
      <c r="K30" s="96">
        <v>0</v>
      </c>
      <c r="L30" s="96">
        <v>0</v>
      </c>
      <c r="M30" s="94" t="s">
        <v>217</v>
      </c>
      <c r="N30" s="281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</row>
    <row r="31" spans="1:25" s="268" customFormat="1" ht="15" customHeight="1" x14ac:dyDescent="0.25">
      <c r="A31" s="84"/>
      <c r="B31" s="261"/>
      <c r="C31" s="91"/>
      <c r="D31" s="84"/>
      <c r="E31" s="91"/>
      <c r="F31" s="271"/>
      <c r="G31" s="84"/>
      <c r="H31" s="91"/>
      <c r="I31" s="271"/>
      <c r="J31" s="343" t="s">
        <v>218</v>
      </c>
      <c r="K31" s="93"/>
      <c r="L31" s="93"/>
      <c r="M31" s="84"/>
      <c r="N31" s="281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</row>
    <row r="32" spans="1:25" s="268" customFormat="1" x14ac:dyDescent="0.25">
      <c r="A32" s="473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</row>
    <row r="33" spans="1:25" s="269" customFormat="1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</row>
    <row r="34" spans="1:25" s="233" customFormat="1" x14ac:dyDescent="0.25">
      <c r="A34" s="527"/>
      <c r="B34" s="527"/>
      <c r="C34" s="527"/>
      <c r="D34" s="527"/>
      <c r="E34" s="527"/>
      <c r="F34" s="527"/>
      <c r="G34" s="527"/>
      <c r="H34" s="527"/>
      <c r="I34" s="527"/>
      <c r="J34" s="527"/>
      <c r="K34" s="527"/>
      <c r="L34" s="527"/>
      <c r="M34" s="527"/>
    </row>
    <row r="36" spans="1:25" x14ac:dyDescent="0.25">
      <c r="A36" s="515" t="s">
        <v>1</v>
      </c>
      <c r="B36" s="515" t="s">
        <v>32</v>
      </c>
      <c r="C36" s="82" t="s">
        <v>33</v>
      </c>
      <c r="D36" s="518" t="s">
        <v>34</v>
      </c>
      <c r="E36" s="519"/>
      <c r="F36" s="519"/>
      <c r="G36" s="518" t="s">
        <v>35</v>
      </c>
      <c r="H36" s="519"/>
      <c r="I36" s="520"/>
      <c r="J36" s="521" t="s">
        <v>36</v>
      </c>
      <c r="K36" s="522"/>
      <c r="L36" s="523"/>
      <c r="M36" s="83"/>
    </row>
    <row r="37" spans="1:25" x14ac:dyDescent="0.25">
      <c r="A37" s="516"/>
      <c r="B37" s="516"/>
      <c r="C37" s="84" t="s">
        <v>37</v>
      </c>
      <c r="D37" s="515" t="s">
        <v>38</v>
      </c>
      <c r="E37" s="515" t="s">
        <v>39</v>
      </c>
      <c r="F37" s="515" t="s">
        <v>40</v>
      </c>
      <c r="G37" s="515" t="s">
        <v>38</v>
      </c>
      <c r="H37" s="515" t="s">
        <v>39</v>
      </c>
      <c r="I37" s="515" t="s">
        <v>40</v>
      </c>
      <c r="J37" s="515" t="s">
        <v>36</v>
      </c>
      <c r="K37" s="515" t="s">
        <v>41</v>
      </c>
      <c r="L37" s="82" t="s">
        <v>232</v>
      </c>
      <c r="M37" s="472" t="s">
        <v>42</v>
      </c>
    </row>
    <row r="38" spans="1:25" x14ac:dyDescent="0.25">
      <c r="A38" s="517"/>
      <c r="B38" s="517"/>
      <c r="C38" s="86"/>
      <c r="D38" s="517"/>
      <c r="E38" s="517"/>
      <c r="F38" s="517"/>
      <c r="G38" s="517"/>
      <c r="H38" s="517"/>
      <c r="I38" s="517"/>
      <c r="J38" s="517"/>
      <c r="K38" s="517"/>
      <c r="L38" s="87" t="s">
        <v>233</v>
      </c>
      <c r="M38" s="88"/>
    </row>
    <row r="39" spans="1:25" x14ac:dyDescent="0.25">
      <c r="A39" s="360"/>
      <c r="B39" s="417" t="s">
        <v>220</v>
      </c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</row>
    <row r="40" spans="1:25" x14ac:dyDescent="0.25">
      <c r="A40" s="275">
        <v>13</v>
      </c>
      <c r="B40" s="91" t="s">
        <v>89</v>
      </c>
      <c r="C40" s="91" t="s">
        <v>90</v>
      </c>
      <c r="D40" s="84" t="s">
        <v>80</v>
      </c>
      <c r="E40" s="91" t="s">
        <v>162</v>
      </c>
      <c r="F40" s="84" t="s">
        <v>80</v>
      </c>
      <c r="G40" s="84" t="s">
        <v>80</v>
      </c>
      <c r="H40" s="91" t="s">
        <v>162</v>
      </c>
      <c r="I40" s="84" t="s">
        <v>80</v>
      </c>
      <c r="J40" s="129">
        <f>14890*12</f>
        <v>178680</v>
      </c>
      <c r="K40" s="93">
        <v>0</v>
      </c>
      <c r="L40" s="93">
        <v>0</v>
      </c>
      <c r="M40" s="102">
        <f>J40</f>
        <v>178680</v>
      </c>
    </row>
    <row r="41" spans="1:25" x14ac:dyDescent="0.25">
      <c r="A41" s="257"/>
      <c r="B41" s="92"/>
      <c r="C41" s="92" t="s">
        <v>320</v>
      </c>
      <c r="D41" s="105"/>
      <c r="E41" s="92"/>
      <c r="F41" s="105"/>
      <c r="G41" s="105"/>
      <c r="H41" s="92"/>
      <c r="I41" s="105"/>
      <c r="J41" s="114" t="s">
        <v>414</v>
      </c>
      <c r="K41" s="108"/>
      <c r="L41" s="108"/>
      <c r="M41" s="92"/>
    </row>
    <row r="42" spans="1:25" x14ac:dyDescent="0.25">
      <c r="A42" s="275">
        <v>14</v>
      </c>
      <c r="B42" s="91" t="s">
        <v>221</v>
      </c>
      <c r="C42" s="91" t="s">
        <v>90</v>
      </c>
      <c r="D42" s="84" t="s">
        <v>80</v>
      </c>
      <c r="E42" s="235" t="s">
        <v>185</v>
      </c>
      <c r="F42" s="84" t="s">
        <v>80</v>
      </c>
      <c r="G42" s="84" t="s">
        <v>80</v>
      </c>
      <c r="H42" s="235" t="s">
        <v>185</v>
      </c>
      <c r="I42" s="84" t="s">
        <v>80</v>
      </c>
      <c r="J42" s="129">
        <f>11190*12</f>
        <v>134280</v>
      </c>
      <c r="K42" s="93">
        <v>0</v>
      </c>
      <c r="L42" s="93">
        <v>0</v>
      </c>
      <c r="M42" s="102">
        <f>J42</f>
        <v>134280</v>
      </c>
    </row>
    <row r="43" spans="1:25" x14ac:dyDescent="0.25">
      <c r="A43" s="275"/>
      <c r="B43" s="91"/>
      <c r="C43" s="91" t="s">
        <v>323</v>
      </c>
      <c r="D43" s="84"/>
      <c r="E43" s="235"/>
      <c r="F43" s="84"/>
      <c r="G43" s="84"/>
      <c r="H43" s="235"/>
      <c r="I43" s="84"/>
      <c r="J43" s="256" t="s">
        <v>415</v>
      </c>
      <c r="K43" s="93"/>
      <c r="L43" s="93"/>
      <c r="M43" s="102"/>
    </row>
    <row r="44" spans="1:25" x14ac:dyDescent="0.25">
      <c r="A44" s="207">
        <v>15</v>
      </c>
      <c r="B44" s="259" t="s">
        <v>203</v>
      </c>
      <c r="C44" s="95" t="s">
        <v>319</v>
      </c>
      <c r="D44" s="94" t="s">
        <v>80</v>
      </c>
      <c r="E44" s="236" t="s">
        <v>19</v>
      </c>
      <c r="F44" s="94" t="s">
        <v>80</v>
      </c>
      <c r="G44" s="94" t="s">
        <v>80</v>
      </c>
      <c r="H44" s="278" t="s">
        <v>19</v>
      </c>
      <c r="I44" s="94" t="s">
        <v>80</v>
      </c>
      <c r="J44" s="418">
        <f>12380*12</f>
        <v>148560</v>
      </c>
      <c r="K44" s="96">
        <v>0</v>
      </c>
      <c r="L44" s="96">
        <v>0</v>
      </c>
      <c r="M44" s="238">
        <f>J44</f>
        <v>148560</v>
      </c>
    </row>
    <row r="45" spans="1:25" x14ac:dyDescent="0.25">
      <c r="A45" s="257"/>
      <c r="B45" s="260"/>
      <c r="C45" s="92" t="s">
        <v>318</v>
      </c>
      <c r="D45" s="105"/>
      <c r="E45" s="106"/>
      <c r="F45" s="105"/>
      <c r="G45" s="105"/>
      <c r="H45" s="419"/>
      <c r="I45" s="105"/>
      <c r="J45" s="420" t="s">
        <v>416</v>
      </c>
      <c r="K45" s="108"/>
      <c r="L45" s="108"/>
      <c r="M45" s="105"/>
    </row>
    <row r="46" spans="1:25" x14ac:dyDescent="0.25">
      <c r="A46" s="275">
        <v>16</v>
      </c>
      <c r="B46" s="91" t="s">
        <v>367</v>
      </c>
      <c r="C46" s="91" t="s">
        <v>310</v>
      </c>
      <c r="D46" s="84" t="s">
        <v>80</v>
      </c>
      <c r="E46" s="91" t="s">
        <v>165</v>
      </c>
      <c r="F46" s="84" t="s">
        <v>80</v>
      </c>
      <c r="G46" s="84" t="s">
        <v>80</v>
      </c>
      <c r="H46" s="91" t="s">
        <v>165</v>
      </c>
      <c r="I46" s="84" t="s">
        <v>80</v>
      </c>
      <c r="J46" s="129">
        <f>13790*12</f>
        <v>165480</v>
      </c>
      <c r="K46" s="93">
        <v>0</v>
      </c>
      <c r="L46" s="93">
        <v>0</v>
      </c>
      <c r="M46" s="102">
        <f>J46</f>
        <v>165480</v>
      </c>
    </row>
    <row r="47" spans="1:25" x14ac:dyDescent="0.25">
      <c r="A47" s="275"/>
      <c r="B47" s="91"/>
      <c r="C47" s="91" t="s">
        <v>321</v>
      </c>
      <c r="D47" s="84"/>
      <c r="E47" s="91"/>
      <c r="F47" s="84"/>
      <c r="G47" s="84"/>
      <c r="H47" s="91"/>
      <c r="I47" s="84"/>
      <c r="J47" s="168" t="s">
        <v>417</v>
      </c>
      <c r="K47" s="93"/>
      <c r="L47" s="93"/>
      <c r="M47" s="91"/>
    </row>
    <row r="48" spans="1:25" x14ac:dyDescent="0.25">
      <c r="A48" s="207">
        <v>17</v>
      </c>
      <c r="B48" s="95" t="s">
        <v>91</v>
      </c>
      <c r="C48" s="95" t="s">
        <v>90</v>
      </c>
      <c r="D48" s="94" t="s">
        <v>80</v>
      </c>
      <c r="E48" s="95" t="s">
        <v>170</v>
      </c>
      <c r="F48" s="94" t="s">
        <v>80</v>
      </c>
      <c r="G48" s="94" t="s">
        <v>80</v>
      </c>
      <c r="H48" s="95" t="s">
        <v>170</v>
      </c>
      <c r="I48" s="94" t="s">
        <v>80</v>
      </c>
      <c r="J48" s="112">
        <f>12530*12</f>
        <v>150360</v>
      </c>
      <c r="K48" s="96">
        <v>0</v>
      </c>
      <c r="L48" s="96">
        <v>0</v>
      </c>
      <c r="M48" s="97">
        <f>J48</f>
        <v>150360</v>
      </c>
    </row>
    <row r="49" spans="1:13" x14ac:dyDescent="0.25">
      <c r="A49" s="257"/>
      <c r="B49" s="92"/>
      <c r="C49" s="92" t="s">
        <v>322</v>
      </c>
      <c r="D49" s="105"/>
      <c r="E49" s="92"/>
      <c r="F49" s="105"/>
      <c r="G49" s="105"/>
      <c r="H49" s="92"/>
      <c r="I49" s="105"/>
      <c r="J49" s="114" t="s">
        <v>227</v>
      </c>
      <c r="K49" s="108"/>
      <c r="L49" s="108"/>
      <c r="M49" s="92"/>
    </row>
    <row r="50" spans="1:13" x14ac:dyDescent="0.25">
      <c r="A50" s="94"/>
      <c r="B50" s="208" t="s">
        <v>219</v>
      </c>
      <c r="C50" s="95"/>
      <c r="D50" s="94"/>
      <c r="E50" s="95"/>
      <c r="F50" s="94"/>
      <c r="G50" s="94"/>
      <c r="H50" s="95"/>
      <c r="I50" s="94"/>
      <c r="J50" s="96"/>
      <c r="K50" s="96"/>
      <c r="L50" s="96"/>
      <c r="M50" s="95"/>
    </row>
    <row r="51" spans="1:13" x14ac:dyDescent="0.25">
      <c r="A51" s="84">
        <v>18</v>
      </c>
      <c r="B51" s="91" t="s">
        <v>92</v>
      </c>
      <c r="C51" s="91" t="s">
        <v>169</v>
      </c>
      <c r="D51" s="84" t="s">
        <v>80</v>
      </c>
      <c r="E51" s="91" t="s">
        <v>20</v>
      </c>
      <c r="F51" s="84" t="s">
        <v>80</v>
      </c>
      <c r="G51" s="84" t="s">
        <v>80</v>
      </c>
      <c r="H51" s="91" t="s">
        <v>20</v>
      </c>
      <c r="I51" s="84" t="s">
        <v>80</v>
      </c>
      <c r="J51" s="129">
        <f>15470*12</f>
        <v>185640</v>
      </c>
      <c r="K51" s="93">
        <v>0</v>
      </c>
      <c r="L51" s="93">
        <v>0</v>
      </c>
      <c r="M51" s="102">
        <f>J51</f>
        <v>185640</v>
      </c>
    </row>
    <row r="52" spans="1:13" x14ac:dyDescent="0.25">
      <c r="A52" s="105"/>
      <c r="B52" s="92"/>
      <c r="C52" s="92" t="s">
        <v>139</v>
      </c>
      <c r="D52" s="105"/>
      <c r="E52" s="92"/>
      <c r="F52" s="105"/>
      <c r="G52" s="105"/>
      <c r="H52" s="92"/>
      <c r="I52" s="105"/>
      <c r="J52" s="114" t="s">
        <v>418</v>
      </c>
      <c r="K52" s="108"/>
      <c r="L52" s="108"/>
      <c r="M52" s="92"/>
    </row>
    <row r="53" spans="1:13" x14ac:dyDescent="0.25">
      <c r="A53" s="84">
        <v>19</v>
      </c>
      <c r="B53" s="91" t="s">
        <v>94</v>
      </c>
      <c r="C53" s="91" t="s">
        <v>169</v>
      </c>
      <c r="D53" s="84" t="s">
        <v>80</v>
      </c>
      <c r="E53" s="91" t="s">
        <v>20</v>
      </c>
      <c r="F53" s="84" t="s">
        <v>80</v>
      </c>
      <c r="G53" s="84" t="s">
        <v>80</v>
      </c>
      <c r="H53" s="91" t="s">
        <v>20</v>
      </c>
      <c r="I53" s="84" t="s">
        <v>80</v>
      </c>
      <c r="J53" s="93">
        <f>10080*12</f>
        <v>120960</v>
      </c>
      <c r="K53" s="93">
        <v>0</v>
      </c>
      <c r="L53" s="93">
        <v>0</v>
      </c>
      <c r="M53" s="102">
        <f>J53</f>
        <v>120960</v>
      </c>
    </row>
    <row r="54" spans="1:13" x14ac:dyDescent="0.25">
      <c r="A54" s="84"/>
      <c r="B54" s="91"/>
      <c r="C54" s="91"/>
      <c r="D54" s="84"/>
      <c r="E54" s="91"/>
      <c r="F54" s="84"/>
      <c r="G54" s="84"/>
      <c r="H54" s="91"/>
      <c r="I54" s="84"/>
      <c r="J54" s="168" t="s">
        <v>419</v>
      </c>
      <c r="K54" s="93"/>
      <c r="L54" s="93"/>
      <c r="M54" s="91"/>
    </row>
    <row r="55" spans="1:13" x14ac:dyDescent="0.25">
      <c r="A55" s="84"/>
      <c r="B55" s="101" t="s">
        <v>21</v>
      </c>
      <c r="C55" s="91"/>
      <c r="D55" s="84"/>
      <c r="E55" s="91"/>
      <c r="F55" s="84"/>
      <c r="G55" s="84" t="s">
        <v>192</v>
      </c>
      <c r="H55" s="91"/>
      <c r="I55" s="84"/>
      <c r="J55" s="93"/>
      <c r="K55" s="93"/>
      <c r="L55" s="93"/>
      <c r="M55" s="91"/>
    </row>
    <row r="56" spans="1:13" x14ac:dyDescent="0.25">
      <c r="A56" s="84">
        <v>20</v>
      </c>
      <c r="B56" s="261" t="s">
        <v>459</v>
      </c>
      <c r="C56" s="91" t="s">
        <v>460</v>
      </c>
      <c r="D56" s="84" t="s">
        <v>80</v>
      </c>
      <c r="E56" s="276" t="s">
        <v>22</v>
      </c>
      <c r="F56" s="84" t="s">
        <v>80</v>
      </c>
      <c r="G56" s="84" t="s">
        <v>80</v>
      </c>
      <c r="H56" s="276" t="s">
        <v>22</v>
      </c>
      <c r="I56" s="84" t="s">
        <v>80</v>
      </c>
      <c r="J56" s="93">
        <f>9000*12</f>
        <v>108000</v>
      </c>
      <c r="K56" s="93">
        <v>0</v>
      </c>
      <c r="L56" s="93">
        <v>0</v>
      </c>
      <c r="M56" s="270">
        <f>J56</f>
        <v>108000</v>
      </c>
    </row>
    <row r="57" spans="1:13" x14ac:dyDescent="0.25">
      <c r="A57" s="275"/>
      <c r="B57" s="268"/>
      <c r="C57" s="91" t="s">
        <v>461</v>
      </c>
      <c r="D57" s="268"/>
      <c r="E57" s="268"/>
      <c r="F57" s="268"/>
      <c r="G57" s="268"/>
      <c r="H57" s="268"/>
      <c r="I57" s="268"/>
      <c r="J57" s="275" t="s">
        <v>222</v>
      </c>
      <c r="K57" s="268"/>
      <c r="L57" s="268"/>
      <c r="M57" s="275"/>
    </row>
    <row r="58" spans="1:13" x14ac:dyDescent="0.25">
      <c r="A58" s="94">
        <v>21</v>
      </c>
      <c r="B58" s="259" t="s">
        <v>462</v>
      </c>
      <c r="C58" s="95" t="s">
        <v>228</v>
      </c>
      <c r="D58" s="94" t="s">
        <v>80</v>
      </c>
      <c r="E58" s="95" t="s">
        <v>23</v>
      </c>
      <c r="F58" s="94" t="s">
        <v>80</v>
      </c>
      <c r="G58" s="94" t="s">
        <v>80</v>
      </c>
      <c r="H58" s="95" t="s">
        <v>23</v>
      </c>
      <c r="I58" s="94" t="s">
        <v>80</v>
      </c>
      <c r="J58" s="96">
        <f>9000*12</f>
        <v>108000</v>
      </c>
      <c r="K58" s="96">
        <v>0</v>
      </c>
      <c r="L58" s="96">
        <v>0</v>
      </c>
      <c r="M58" s="238">
        <f>J58</f>
        <v>108000</v>
      </c>
    </row>
    <row r="59" spans="1:13" x14ac:dyDescent="0.25">
      <c r="A59" s="105"/>
      <c r="B59" s="279"/>
      <c r="C59" s="92"/>
      <c r="D59" s="105"/>
      <c r="E59" s="92"/>
      <c r="F59" s="105"/>
      <c r="G59" s="105"/>
      <c r="H59" s="92"/>
      <c r="I59" s="105"/>
      <c r="J59" s="257" t="s">
        <v>222</v>
      </c>
      <c r="K59" s="108"/>
      <c r="L59" s="108"/>
      <c r="M59" s="92"/>
    </row>
    <row r="60" spans="1:13" s="233" customFormat="1" x14ac:dyDescent="0.25">
      <c r="A60" s="84">
        <v>22</v>
      </c>
      <c r="B60" s="235" t="s">
        <v>168</v>
      </c>
      <c r="C60" s="91" t="s">
        <v>228</v>
      </c>
      <c r="D60" s="84" t="s">
        <v>80</v>
      </c>
      <c r="E60" s="91" t="s">
        <v>303</v>
      </c>
      <c r="F60" s="84" t="s">
        <v>80</v>
      </c>
      <c r="G60" s="84" t="s">
        <v>80</v>
      </c>
      <c r="H60" s="91" t="s">
        <v>303</v>
      </c>
      <c r="I60" s="84" t="s">
        <v>80</v>
      </c>
      <c r="J60" s="93">
        <f>9000*12</f>
        <v>108000</v>
      </c>
      <c r="K60" s="93">
        <v>0</v>
      </c>
      <c r="L60" s="93">
        <v>0</v>
      </c>
      <c r="M60" s="102">
        <f>J60</f>
        <v>108000</v>
      </c>
    </row>
    <row r="61" spans="1:13" s="233" customFormat="1" x14ac:dyDescent="0.25">
      <c r="A61" s="269"/>
      <c r="B61" s="269"/>
      <c r="C61" s="269"/>
      <c r="D61" s="269"/>
      <c r="E61" s="269"/>
      <c r="F61" s="269"/>
      <c r="G61" s="269"/>
      <c r="H61" s="269"/>
      <c r="I61" s="269"/>
      <c r="J61" s="284" t="s">
        <v>222</v>
      </c>
      <c r="K61" s="269"/>
      <c r="L61" s="269"/>
      <c r="M61" s="269"/>
    </row>
    <row r="62" spans="1:13" s="233" customFormat="1" x14ac:dyDescent="0.25"/>
    <row r="63" spans="1:13" s="233" customFormat="1" x14ac:dyDescent="0.25"/>
    <row r="64" spans="1:13" s="233" customFormat="1" x14ac:dyDescent="0.25"/>
    <row r="65" spans="1:13" s="233" customFormat="1" x14ac:dyDescent="0.25"/>
    <row r="66" spans="1:13" s="233" customFormat="1" x14ac:dyDescent="0.25"/>
    <row r="67" spans="1:13" x14ac:dyDescent="0.25">
      <c r="A67" s="515" t="s">
        <v>1</v>
      </c>
      <c r="B67" s="515" t="s">
        <v>32</v>
      </c>
      <c r="C67" s="82" t="s">
        <v>33</v>
      </c>
      <c r="D67" s="518" t="s">
        <v>34</v>
      </c>
      <c r="E67" s="519"/>
      <c r="F67" s="519"/>
      <c r="G67" s="518" t="s">
        <v>35</v>
      </c>
      <c r="H67" s="519"/>
      <c r="I67" s="520"/>
      <c r="J67" s="521" t="s">
        <v>36</v>
      </c>
      <c r="K67" s="522"/>
      <c r="L67" s="523"/>
      <c r="M67" s="83"/>
    </row>
    <row r="68" spans="1:13" x14ac:dyDescent="0.25">
      <c r="A68" s="516"/>
      <c r="B68" s="516"/>
      <c r="C68" s="84" t="s">
        <v>37</v>
      </c>
      <c r="D68" s="515" t="s">
        <v>38</v>
      </c>
      <c r="E68" s="515" t="s">
        <v>39</v>
      </c>
      <c r="F68" s="515" t="s">
        <v>40</v>
      </c>
      <c r="G68" s="515" t="s">
        <v>38</v>
      </c>
      <c r="H68" s="515" t="s">
        <v>39</v>
      </c>
      <c r="I68" s="515" t="s">
        <v>40</v>
      </c>
      <c r="J68" s="515" t="s">
        <v>36</v>
      </c>
      <c r="K68" s="515" t="s">
        <v>41</v>
      </c>
      <c r="L68" s="82" t="s">
        <v>232</v>
      </c>
      <c r="M68" s="472" t="s">
        <v>42</v>
      </c>
    </row>
    <row r="69" spans="1:13" x14ac:dyDescent="0.25">
      <c r="A69" s="517"/>
      <c r="B69" s="517"/>
      <c r="C69" s="86"/>
      <c r="D69" s="517"/>
      <c r="E69" s="517"/>
      <c r="F69" s="517"/>
      <c r="G69" s="517"/>
      <c r="H69" s="517"/>
      <c r="I69" s="517"/>
      <c r="J69" s="517"/>
      <c r="K69" s="517"/>
      <c r="L69" s="87" t="s">
        <v>233</v>
      </c>
      <c r="M69" s="88"/>
    </row>
    <row r="70" spans="1:13" x14ac:dyDescent="0.25">
      <c r="A70" s="94"/>
      <c r="B70" s="239" t="s">
        <v>24</v>
      </c>
      <c r="C70" s="95"/>
      <c r="D70" s="95"/>
      <c r="E70" s="95"/>
      <c r="F70" s="95"/>
      <c r="G70" s="95"/>
      <c r="H70" s="95"/>
      <c r="I70" s="95"/>
      <c r="J70" s="96"/>
      <c r="K70" s="96"/>
      <c r="L70" s="96"/>
      <c r="M70" s="95"/>
    </row>
    <row r="71" spans="1:13" x14ac:dyDescent="0.25">
      <c r="A71" s="84"/>
      <c r="B71" s="111" t="s">
        <v>50</v>
      </c>
      <c r="C71" s="91"/>
      <c r="D71" s="91"/>
      <c r="E71" s="91"/>
      <c r="F71" s="91"/>
      <c r="G71" s="91"/>
      <c r="H71" s="91"/>
      <c r="I71" s="91"/>
      <c r="J71" s="93"/>
      <c r="K71" s="93"/>
      <c r="L71" s="93"/>
      <c r="M71" s="91"/>
    </row>
    <row r="72" spans="1:13" x14ac:dyDescent="0.25">
      <c r="A72" s="84">
        <v>23</v>
      </c>
      <c r="B72" s="91" t="s">
        <v>95</v>
      </c>
      <c r="C72" s="91" t="s">
        <v>319</v>
      </c>
      <c r="D72" s="91" t="s">
        <v>96</v>
      </c>
      <c r="E72" s="91" t="s">
        <v>25</v>
      </c>
      <c r="F72" s="84" t="s">
        <v>49</v>
      </c>
      <c r="G72" s="91" t="s">
        <v>96</v>
      </c>
      <c r="H72" s="91" t="s">
        <v>25</v>
      </c>
      <c r="I72" s="84" t="s">
        <v>49</v>
      </c>
      <c r="J72" s="425">
        <f>37960*12</f>
        <v>455520</v>
      </c>
      <c r="K72" s="93">
        <f>3500*12</f>
        <v>42000</v>
      </c>
      <c r="L72" s="93">
        <v>0</v>
      </c>
      <c r="M72" s="102">
        <f>SUM(J72:L72)</f>
        <v>497520</v>
      </c>
    </row>
    <row r="73" spans="1:13" x14ac:dyDescent="0.25">
      <c r="A73" s="105"/>
      <c r="B73" s="92"/>
      <c r="C73" s="92" t="s">
        <v>325</v>
      </c>
      <c r="D73" s="92"/>
      <c r="E73" s="92" t="s">
        <v>97</v>
      </c>
      <c r="F73" s="105"/>
      <c r="G73" s="92"/>
      <c r="H73" s="92" t="s">
        <v>97</v>
      </c>
      <c r="I73" s="105"/>
      <c r="J73" s="285" t="s">
        <v>421</v>
      </c>
      <c r="K73" s="285" t="s">
        <v>214</v>
      </c>
      <c r="L73" s="108"/>
      <c r="M73" s="92"/>
    </row>
    <row r="74" spans="1:13" x14ac:dyDescent="0.25">
      <c r="A74" s="94">
        <v>24</v>
      </c>
      <c r="B74" s="95" t="s">
        <v>224</v>
      </c>
      <c r="C74" s="95" t="s">
        <v>319</v>
      </c>
      <c r="D74" s="95" t="s">
        <v>99</v>
      </c>
      <c r="E74" s="95" t="s">
        <v>98</v>
      </c>
      <c r="F74" s="94" t="s">
        <v>56</v>
      </c>
      <c r="G74" s="95" t="s">
        <v>99</v>
      </c>
      <c r="H74" s="95" t="s">
        <v>98</v>
      </c>
      <c r="I74" s="94" t="s">
        <v>56</v>
      </c>
      <c r="J74" s="112">
        <f>29110*12</f>
        <v>349320</v>
      </c>
      <c r="K74" s="96">
        <v>0</v>
      </c>
      <c r="L74" s="96">
        <v>0</v>
      </c>
      <c r="M74" s="97">
        <f>J74</f>
        <v>349320</v>
      </c>
    </row>
    <row r="75" spans="1:13" x14ac:dyDescent="0.25">
      <c r="A75" s="84"/>
      <c r="B75" s="91"/>
      <c r="C75" s="91" t="s">
        <v>325</v>
      </c>
      <c r="D75" s="91"/>
      <c r="E75" s="91"/>
      <c r="F75" s="84"/>
      <c r="G75" s="91"/>
      <c r="H75" s="91"/>
      <c r="I75" s="84"/>
      <c r="J75" s="168" t="s">
        <v>422</v>
      </c>
      <c r="K75" s="93"/>
      <c r="L75" s="93"/>
      <c r="M75" s="102"/>
    </row>
    <row r="76" spans="1:13" x14ac:dyDescent="0.25">
      <c r="A76" s="94">
        <v>25</v>
      </c>
      <c r="B76" s="267" t="s">
        <v>423</v>
      </c>
      <c r="C76" s="95"/>
      <c r="D76" s="95" t="s">
        <v>101</v>
      </c>
      <c r="E76" s="95" t="s">
        <v>100</v>
      </c>
      <c r="F76" s="94" t="s">
        <v>392</v>
      </c>
      <c r="G76" s="95" t="s">
        <v>101</v>
      </c>
      <c r="H76" s="95" t="s">
        <v>100</v>
      </c>
      <c r="I76" s="94" t="s">
        <v>392</v>
      </c>
      <c r="J76" s="112">
        <f>((49480+9740)/2)*12</f>
        <v>355320</v>
      </c>
      <c r="K76" s="96">
        <v>0</v>
      </c>
      <c r="L76" s="96">
        <v>0</v>
      </c>
      <c r="M76" s="238" t="s">
        <v>217</v>
      </c>
    </row>
    <row r="77" spans="1:13" x14ac:dyDescent="0.25">
      <c r="A77" s="105"/>
      <c r="B77" s="260"/>
      <c r="C77" s="92"/>
      <c r="D77" s="92"/>
      <c r="E77" s="92"/>
      <c r="F77" s="105"/>
      <c r="G77" s="92"/>
      <c r="H77" s="92"/>
      <c r="I77" s="105"/>
      <c r="J77" s="426" t="s">
        <v>424</v>
      </c>
      <c r="K77" s="108"/>
      <c r="L77" s="108"/>
      <c r="M77" s="113"/>
    </row>
    <row r="78" spans="1:13" x14ac:dyDescent="0.25">
      <c r="A78" s="84">
        <v>26</v>
      </c>
      <c r="B78" s="91" t="s">
        <v>102</v>
      </c>
      <c r="C78" s="91" t="s">
        <v>207</v>
      </c>
      <c r="D78" s="91" t="s">
        <v>104</v>
      </c>
      <c r="E78" s="91" t="s">
        <v>103</v>
      </c>
      <c r="F78" s="84" t="s">
        <v>105</v>
      </c>
      <c r="G78" s="91" t="s">
        <v>104</v>
      </c>
      <c r="H78" s="91" t="s">
        <v>103</v>
      </c>
      <c r="I78" s="84" t="s">
        <v>105</v>
      </c>
      <c r="J78" s="129">
        <f>22920*12</f>
        <v>275040</v>
      </c>
      <c r="K78" s="93">
        <v>0</v>
      </c>
      <c r="L78" s="93">
        <v>0</v>
      </c>
      <c r="M78" s="102">
        <f>J78</f>
        <v>275040</v>
      </c>
    </row>
    <row r="79" spans="1:13" x14ac:dyDescent="0.25">
      <c r="A79" s="84"/>
      <c r="B79" s="91"/>
      <c r="C79" s="91" t="s">
        <v>325</v>
      </c>
      <c r="D79" s="91"/>
      <c r="E79" s="91"/>
      <c r="F79" s="84"/>
      <c r="G79" s="91"/>
      <c r="H79" s="91"/>
      <c r="I79" s="84"/>
      <c r="J79" s="168" t="s">
        <v>426</v>
      </c>
      <c r="K79" s="93"/>
      <c r="L79" s="93"/>
      <c r="M79" s="91"/>
    </row>
    <row r="80" spans="1:13" x14ac:dyDescent="0.25">
      <c r="A80" s="84">
        <v>27</v>
      </c>
      <c r="B80" s="267" t="s">
        <v>47</v>
      </c>
      <c r="C80" s="95"/>
      <c r="D80" s="95" t="s">
        <v>111</v>
      </c>
      <c r="E80" s="95" t="s">
        <v>103</v>
      </c>
      <c r="F80" s="237" t="s">
        <v>71</v>
      </c>
      <c r="G80" s="95" t="s">
        <v>111</v>
      </c>
      <c r="H80" s="95" t="s">
        <v>103</v>
      </c>
      <c r="I80" s="237" t="s">
        <v>71</v>
      </c>
      <c r="J80" s="112">
        <f>((8750+40900)/2)*12</f>
        <v>297900</v>
      </c>
      <c r="K80" s="96">
        <v>0</v>
      </c>
      <c r="L80" s="96">
        <v>0</v>
      </c>
      <c r="M80" s="238" t="s">
        <v>217</v>
      </c>
    </row>
    <row r="81" spans="1:15" x14ac:dyDescent="0.25">
      <c r="A81" s="84"/>
      <c r="B81" s="260"/>
      <c r="C81" s="92"/>
      <c r="D81" s="92"/>
      <c r="E81" s="92"/>
      <c r="F81" s="272"/>
      <c r="G81" s="92"/>
      <c r="H81" s="92"/>
      <c r="I81" s="272"/>
      <c r="J81" s="283" t="s">
        <v>218</v>
      </c>
      <c r="K81" s="108"/>
      <c r="L81" s="108"/>
      <c r="M81" s="105"/>
    </row>
    <row r="82" spans="1:15" x14ac:dyDescent="0.25">
      <c r="A82" s="94">
        <v>28</v>
      </c>
      <c r="B82" s="267" t="s">
        <v>47</v>
      </c>
      <c r="C82" s="95"/>
      <c r="D82" s="95" t="s">
        <v>107</v>
      </c>
      <c r="E82" s="95" t="s">
        <v>106</v>
      </c>
      <c r="F82" s="237" t="s">
        <v>71</v>
      </c>
      <c r="G82" s="95" t="s">
        <v>107</v>
      </c>
      <c r="H82" s="95" t="s">
        <v>106</v>
      </c>
      <c r="I82" s="237" t="s">
        <v>71</v>
      </c>
      <c r="J82" s="112">
        <f>((8750+40900)/2)*12</f>
        <v>297900</v>
      </c>
      <c r="K82" s="96">
        <v>0</v>
      </c>
      <c r="L82" s="96">
        <v>0</v>
      </c>
      <c r="M82" s="94" t="s">
        <v>217</v>
      </c>
    </row>
    <row r="83" spans="1:15" x14ac:dyDescent="0.25">
      <c r="A83" s="105"/>
      <c r="B83" s="260"/>
      <c r="C83" s="92"/>
      <c r="D83" s="92"/>
      <c r="E83" s="92"/>
      <c r="F83" s="272"/>
      <c r="G83" s="92"/>
      <c r="H83" s="92"/>
      <c r="I83" s="272"/>
      <c r="J83" s="283" t="s">
        <v>218</v>
      </c>
      <c r="K83" s="108"/>
      <c r="L83" s="108"/>
      <c r="M83" s="105"/>
    </row>
    <row r="84" spans="1:15" x14ac:dyDescent="0.25">
      <c r="A84" s="94">
        <v>29</v>
      </c>
      <c r="B84" s="95" t="s">
        <v>108</v>
      </c>
      <c r="C84" s="95" t="s">
        <v>207</v>
      </c>
      <c r="D84" s="95" t="s">
        <v>110</v>
      </c>
      <c r="E84" s="95" t="s">
        <v>109</v>
      </c>
      <c r="F84" s="94" t="s">
        <v>105</v>
      </c>
      <c r="G84" s="95" t="s">
        <v>110</v>
      </c>
      <c r="H84" s="95" t="s">
        <v>109</v>
      </c>
      <c r="I84" s="94" t="s">
        <v>105</v>
      </c>
      <c r="J84" s="112">
        <f>23820*12</f>
        <v>285840</v>
      </c>
      <c r="K84" s="96">
        <v>0</v>
      </c>
      <c r="L84" s="96">
        <v>0</v>
      </c>
      <c r="M84" s="238">
        <f>J84</f>
        <v>285840</v>
      </c>
    </row>
    <row r="85" spans="1:15" x14ac:dyDescent="0.25">
      <c r="A85" s="105"/>
      <c r="B85" s="92"/>
      <c r="C85" s="92" t="s">
        <v>318</v>
      </c>
      <c r="D85" s="92"/>
      <c r="E85" s="92"/>
      <c r="F85" s="105"/>
      <c r="G85" s="92"/>
      <c r="H85" s="92"/>
      <c r="I85" s="105"/>
      <c r="J85" s="114" t="s">
        <v>425</v>
      </c>
      <c r="K85" s="108"/>
      <c r="L85" s="108"/>
      <c r="M85" s="105"/>
    </row>
    <row r="86" spans="1:15" x14ac:dyDescent="0.25">
      <c r="A86" s="84"/>
      <c r="B86" s="101" t="s">
        <v>26</v>
      </c>
      <c r="C86" s="91"/>
      <c r="D86" s="91"/>
      <c r="E86" s="91"/>
      <c r="F86" s="91"/>
      <c r="G86" s="91"/>
      <c r="H86" s="91"/>
      <c r="I86" s="91"/>
      <c r="J86" s="93"/>
      <c r="K86" s="93"/>
      <c r="L86" s="93"/>
      <c r="M86" s="84"/>
    </row>
    <row r="87" spans="1:15" x14ac:dyDescent="0.25">
      <c r="A87" s="84">
        <v>30</v>
      </c>
      <c r="B87" s="91" t="s">
        <v>112</v>
      </c>
      <c r="C87" s="91" t="s">
        <v>90</v>
      </c>
      <c r="D87" s="84" t="s">
        <v>80</v>
      </c>
      <c r="E87" s="91" t="s">
        <v>109</v>
      </c>
      <c r="F87" s="84" t="s">
        <v>80</v>
      </c>
      <c r="G87" s="84" t="s">
        <v>113</v>
      </c>
      <c r="H87" s="91" t="s">
        <v>109</v>
      </c>
      <c r="I87" s="84" t="s">
        <v>80</v>
      </c>
      <c r="J87" s="129">
        <f>17880*12</f>
        <v>214560</v>
      </c>
      <c r="K87" s="93">
        <v>0</v>
      </c>
      <c r="L87" s="93">
        <v>0</v>
      </c>
      <c r="M87" s="270">
        <f>J87</f>
        <v>214560</v>
      </c>
    </row>
    <row r="88" spans="1:15" x14ac:dyDescent="0.25">
      <c r="A88" s="84"/>
      <c r="B88" s="91"/>
      <c r="C88" s="91" t="s">
        <v>325</v>
      </c>
      <c r="D88" s="84"/>
      <c r="E88" s="91"/>
      <c r="F88" s="84"/>
      <c r="G88" s="84"/>
      <c r="H88" s="91"/>
      <c r="I88" s="84"/>
      <c r="J88" s="168" t="s">
        <v>230</v>
      </c>
      <c r="K88" s="93"/>
      <c r="L88" s="93"/>
      <c r="M88" s="84"/>
    </row>
    <row r="89" spans="1:15" x14ac:dyDescent="0.25">
      <c r="A89" s="94"/>
      <c r="B89" s="239" t="s">
        <v>16</v>
      </c>
      <c r="C89" s="95"/>
      <c r="D89" s="95"/>
      <c r="E89" s="95"/>
      <c r="F89" s="95"/>
      <c r="G89" s="95"/>
      <c r="H89" s="95"/>
      <c r="I89" s="95"/>
      <c r="J89" s="104"/>
      <c r="K89" s="96"/>
      <c r="L89" s="96"/>
      <c r="M89" s="94"/>
    </row>
    <row r="90" spans="1:15" x14ac:dyDescent="0.25">
      <c r="A90" s="84">
        <v>31</v>
      </c>
      <c r="B90" s="91" t="s">
        <v>114</v>
      </c>
      <c r="C90" s="91" t="s">
        <v>90</v>
      </c>
      <c r="D90" s="84" t="s">
        <v>80</v>
      </c>
      <c r="E90" s="91" t="s">
        <v>162</v>
      </c>
      <c r="F90" s="84" t="s">
        <v>80</v>
      </c>
      <c r="G90" s="84" t="s">
        <v>80</v>
      </c>
      <c r="H90" s="91" t="s">
        <v>162</v>
      </c>
      <c r="I90" s="84" t="s">
        <v>80</v>
      </c>
      <c r="J90" s="129">
        <f>12970*12</f>
        <v>155640</v>
      </c>
      <c r="K90" s="93">
        <v>0</v>
      </c>
      <c r="L90" s="93">
        <v>0</v>
      </c>
      <c r="M90" s="270">
        <f>J90</f>
        <v>155640</v>
      </c>
    </row>
    <row r="91" spans="1:15" x14ac:dyDescent="0.25">
      <c r="A91" s="105"/>
      <c r="B91" s="92"/>
      <c r="C91" s="92" t="s">
        <v>325</v>
      </c>
      <c r="D91" s="105"/>
      <c r="E91" s="92"/>
      <c r="F91" s="105"/>
      <c r="G91" s="105"/>
      <c r="H91" s="92"/>
      <c r="I91" s="105"/>
      <c r="J91" s="114" t="s">
        <v>226</v>
      </c>
      <c r="K91" s="108"/>
      <c r="L91" s="108"/>
      <c r="M91" s="105"/>
    </row>
    <row r="92" spans="1:15" x14ac:dyDescent="0.25">
      <c r="A92" s="94">
        <v>32</v>
      </c>
      <c r="B92" s="95" t="s">
        <v>115</v>
      </c>
      <c r="C92" s="95" t="s">
        <v>90</v>
      </c>
      <c r="D92" s="94" t="s">
        <v>80</v>
      </c>
      <c r="E92" s="236" t="s">
        <v>184</v>
      </c>
      <c r="F92" s="94" t="s">
        <v>80</v>
      </c>
      <c r="G92" s="94" t="s">
        <v>80</v>
      </c>
      <c r="H92" s="236" t="s">
        <v>184</v>
      </c>
      <c r="I92" s="94" t="s">
        <v>80</v>
      </c>
      <c r="J92" s="112">
        <f>11290*12</f>
        <v>135480</v>
      </c>
      <c r="K92" s="96">
        <v>0</v>
      </c>
      <c r="L92" s="96">
        <v>0</v>
      </c>
      <c r="M92" s="238">
        <f>J92</f>
        <v>135480</v>
      </c>
    </row>
    <row r="93" spans="1:15" x14ac:dyDescent="0.25">
      <c r="A93" s="275"/>
      <c r="B93" s="268"/>
      <c r="C93" s="268" t="s">
        <v>318</v>
      </c>
      <c r="D93" s="268"/>
      <c r="E93" s="268"/>
      <c r="F93" s="268"/>
      <c r="G93" s="268"/>
      <c r="H93" s="268"/>
      <c r="I93" s="268"/>
      <c r="J93" s="275" t="s">
        <v>427</v>
      </c>
      <c r="K93" s="268"/>
      <c r="L93" s="268"/>
      <c r="M93" s="268"/>
      <c r="O93" s="156"/>
    </row>
    <row r="94" spans="1:15" x14ac:dyDescent="0.25">
      <c r="A94" s="207"/>
      <c r="B94" s="239" t="s">
        <v>27</v>
      </c>
      <c r="C94" s="95"/>
      <c r="D94" s="94"/>
      <c r="E94" s="94"/>
      <c r="F94" s="94"/>
      <c r="G94" s="94"/>
      <c r="H94" s="95"/>
      <c r="I94" s="94"/>
      <c r="J94" s="96"/>
      <c r="K94" s="96"/>
      <c r="L94" s="96"/>
      <c r="M94" s="94"/>
    </row>
    <row r="95" spans="1:15" x14ac:dyDescent="0.25">
      <c r="A95" s="275"/>
      <c r="B95" s="111" t="s">
        <v>50</v>
      </c>
      <c r="C95" s="91"/>
      <c r="D95" s="84"/>
      <c r="E95" s="84"/>
      <c r="F95" s="84"/>
      <c r="G95" s="84"/>
      <c r="H95" s="91"/>
      <c r="I95" s="84"/>
      <c r="J95" s="93"/>
      <c r="K95" s="93"/>
      <c r="L95" s="93"/>
      <c r="M95" s="84"/>
    </row>
    <row r="96" spans="1:15" x14ac:dyDescent="0.25">
      <c r="A96" s="275">
        <v>33</v>
      </c>
      <c r="B96" s="91" t="s">
        <v>116</v>
      </c>
      <c r="C96" s="91" t="s">
        <v>310</v>
      </c>
      <c r="D96" s="91" t="s">
        <v>117</v>
      </c>
      <c r="E96" s="91" t="s">
        <v>28</v>
      </c>
      <c r="F96" s="84" t="s">
        <v>49</v>
      </c>
      <c r="G96" s="91" t="s">
        <v>117</v>
      </c>
      <c r="H96" s="91" t="s">
        <v>28</v>
      </c>
      <c r="I96" s="84" t="s">
        <v>49</v>
      </c>
      <c r="J96" s="129">
        <f>33000*12</f>
        <v>396000</v>
      </c>
      <c r="K96" s="93">
        <f>3500*12</f>
        <v>42000</v>
      </c>
      <c r="L96" s="93">
        <v>0</v>
      </c>
      <c r="M96" s="102">
        <f>SUM(J96:L96)</f>
        <v>438000</v>
      </c>
    </row>
    <row r="97" spans="1:13" x14ac:dyDescent="0.25">
      <c r="A97" s="284"/>
      <c r="B97" s="86"/>
      <c r="C97" s="86" t="s">
        <v>326</v>
      </c>
      <c r="D97" s="86"/>
      <c r="E97" s="86" t="s">
        <v>118</v>
      </c>
      <c r="F97" s="87"/>
      <c r="G97" s="86"/>
      <c r="H97" s="86" t="s">
        <v>118</v>
      </c>
      <c r="I97" s="87"/>
      <c r="J97" s="430" t="s">
        <v>428</v>
      </c>
      <c r="K97" s="430" t="s">
        <v>214</v>
      </c>
      <c r="L97" s="431"/>
      <c r="M97" s="86"/>
    </row>
    <row r="100" spans="1:13" x14ac:dyDescent="0.25">
      <c r="A100" s="515" t="s">
        <v>1</v>
      </c>
      <c r="B100" s="515" t="s">
        <v>32</v>
      </c>
      <c r="C100" s="82" t="s">
        <v>33</v>
      </c>
      <c r="D100" s="518" t="s">
        <v>34</v>
      </c>
      <c r="E100" s="519"/>
      <c r="F100" s="519"/>
      <c r="G100" s="518" t="s">
        <v>35</v>
      </c>
      <c r="H100" s="519"/>
      <c r="I100" s="520"/>
      <c r="J100" s="521" t="s">
        <v>36</v>
      </c>
      <c r="K100" s="522"/>
      <c r="L100" s="523"/>
      <c r="M100" s="83"/>
    </row>
    <row r="101" spans="1:13" x14ac:dyDescent="0.25">
      <c r="A101" s="516"/>
      <c r="B101" s="516"/>
      <c r="C101" s="84" t="s">
        <v>37</v>
      </c>
      <c r="D101" s="515" t="s">
        <v>38</v>
      </c>
      <c r="E101" s="515" t="s">
        <v>39</v>
      </c>
      <c r="F101" s="515" t="s">
        <v>40</v>
      </c>
      <c r="G101" s="515" t="s">
        <v>38</v>
      </c>
      <c r="H101" s="515" t="s">
        <v>39</v>
      </c>
      <c r="I101" s="515" t="s">
        <v>40</v>
      </c>
      <c r="J101" s="515" t="s">
        <v>36</v>
      </c>
      <c r="K101" s="515" t="s">
        <v>41</v>
      </c>
      <c r="L101" s="82" t="s">
        <v>232</v>
      </c>
      <c r="M101" s="472" t="s">
        <v>42</v>
      </c>
    </row>
    <row r="102" spans="1:13" x14ac:dyDescent="0.25">
      <c r="A102" s="517"/>
      <c r="B102" s="517"/>
      <c r="C102" s="86"/>
      <c r="D102" s="517"/>
      <c r="E102" s="517"/>
      <c r="F102" s="517"/>
      <c r="G102" s="517"/>
      <c r="H102" s="517"/>
      <c r="I102" s="517"/>
      <c r="J102" s="517"/>
      <c r="K102" s="517"/>
      <c r="L102" s="87" t="s">
        <v>233</v>
      </c>
      <c r="M102" s="88"/>
    </row>
    <row r="103" spans="1:13" x14ac:dyDescent="0.25">
      <c r="A103" s="82"/>
      <c r="B103" s="349" t="s">
        <v>27</v>
      </c>
      <c r="C103" s="361"/>
      <c r="D103" s="361"/>
      <c r="E103" s="361"/>
      <c r="F103" s="361"/>
      <c r="G103" s="361"/>
      <c r="H103" s="361"/>
      <c r="I103" s="361"/>
      <c r="J103" s="361"/>
      <c r="K103" s="361"/>
      <c r="L103" s="361"/>
      <c r="M103" s="361"/>
    </row>
    <row r="104" spans="1:13" x14ac:dyDescent="0.25">
      <c r="A104" s="84"/>
      <c r="B104" s="111" t="s">
        <v>50</v>
      </c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</row>
    <row r="105" spans="1:13" x14ac:dyDescent="0.25">
      <c r="A105" s="84">
        <v>34</v>
      </c>
      <c r="B105" s="91" t="s">
        <v>126</v>
      </c>
      <c r="C105" s="235" t="s">
        <v>207</v>
      </c>
      <c r="D105" s="91" t="s">
        <v>127</v>
      </c>
      <c r="E105" s="91" t="s">
        <v>76</v>
      </c>
      <c r="F105" s="84" t="s">
        <v>77</v>
      </c>
      <c r="G105" s="91" t="s">
        <v>127</v>
      </c>
      <c r="H105" s="91" t="s">
        <v>76</v>
      </c>
      <c r="I105" s="84" t="s">
        <v>77</v>
      </c>
      <c r="J105" s="129">
        <f>18190*12</f>
        <v>218280</v>
      </c>
      <c r="K105" s="93">
        <v>0</v>
      </c>
      <c r="L105" s="93">
        <v>0</v>
      </c>
      <c r="M105" s="102">
        <f>J105</f>
        <v>218280</v>
      </c>
    </row>
    <row r="106" spans="1:13" x14ac:dyDescent="0.25">
      <c r="A106" s="105"/>
      <c r="B106" s="92"/>
      <c r="C106" s="106" t="s">
        <v>325</v>
      </c>
      <c r="D106" s="92"/>
      <c r="E106" s="92"/>
      <c r="F106" s="105"/>
      <c r="G106" s="92"/>
      <c r="H106" s="92"/>
      <c r="I106" s="105"/>
      <c r="J106" s="114" t="s">
        <v>429</v>
      </c>
      <c r="K106" s="108"/>
      <c r="L106" s="108"/>
      <c r="M106" s="92"/>
    </row>
    <row r="107" spans="1:13" x14ac:dyDescent="0.25">
      <c r="A107" s="94">
        <v>35</v>
      </c>
      <c r="B107" s="259" t="s">
        <v>204</v>
      </c>
      <c r="C107" s="95" t="s">
        <v>207</v>
      </c>
      <c r="D107" s="95" t="s">
        <v>120</v>
      </c>
      <c r="E107" s="95" t="s">
        <v>119</v>
      </c>
      <c r="F107" s="94" t="s">
        <v>77</v>
      </c>
      <c r="G107" s="95" t="s">
        <v>120</v>
      </c>
      <c r="H107" s="95" t="s">
        <v>119</v>
      </c>
      <c r="I107" s="94" t="s">
        <v>77</v>
      </c>
      <c r="J107" s="112">
        <f>13230*12</f>
        <v>158760</v>
      </c>
      <c r="K107" s="96">
        <v>0</v>
      </c>
      <c r="L107" s="96">
        <v>0</v>
      </c>
      <c r="M107" s="97">
        <f>J107</f>
        <v>158760</v>
      </c>
    </row>
    <row r="108" spans="1:13" x14ac:dyDescent="0.25">
      <c r="A108" s="105"/>
      <c r="B108" s="260"/>
      <c r="C108" s="92" t="s">
        <v>327</v>
      </c>
      <c r="D108" s="92"/>
      <c r="E108" s="92"/>
      <c r="F108" s="105"/>
      <c r="G108" s="92"/>
      <c r="H108" s="92"/>
      <c r="I108" s="105"/>
      <c r="J108" s="114" t="s">
        <v>430</v>
      </c>
      <c r="K108" s="108"/>
      <c r="L108" s="108"/>
      <c r="M108" s="113"/>
    </row>
    <row r="109" spans="1:13" x14ac:dyDescent="0.25">
      <c r="A109" s="84">
        <v>36</v>
      </c>
      <c r="B109" s="235" t="s">
        <v>121</v>
      </c>
      <c r="C109" s="91" t="s">
        <v>329</v>
      </c>
      <c r="D109" s="91" t="s">
        <v>122</v>
      </c>
      <c r="E109" s="91" t="s">
        <v>119</v>
      </c>
      <c r="F109" s="273" t="s">
        <v>105</v>
      </c>
      <c r="G109" s="91" t="s">
        <v>122</v>
      </c>
      <c r="H109" s="91" t="s">
        <v>119</v>
      </c>
      <c r="I109" s="273" t="s">
        <v>105</v>
      </c>
      <c r="J109" s="129">
        <f>25190*12</f>
        <v>302280</v>
      </c>
      <c r="K109" s="93">
        <v>0</v>
      </c>
      <c r="L109" s="93">
        <v>0</v>
      </c>
      <c r="M109" s="270">
        <f>J109</f>
        <v>302280</v>
      </c>
    </row>
    <row r="110" spans="1:13" x14ac:dyDescent="0.25">
      <c r="A110" s="84"/>
      <c r="B110" s="235"/>
      <c r="C110" s="91" t="s">
        <v>326</v>
      </c>
      <c r="D110" s="91"/>
      <c r="E110" s="91"/>
      <c r="F110" s="273"/>
      <c r="G110" s="91"/>
      <c r="H110" s="91"/>
      <c r="I110" s="273"/>
      <c r="J110" s="168" t="s">
        <v>431</v>
      </c>
      <c r="K110" s="93"/>
      <c r="L110" s="93"/>
      <c r="M110" s="270"/>
    </row>
    <row r="111" spans="1:13" x14ac:dyDescent="0.25">
      <c r="A111" s="94">
        <v>37</v>
      </c>
      <c r="B111" s="259" t="s">
        <v>205</v>
      </c>
      <c r="C111" s="95" t="s">
        <v>207</v>
      </c>
      <c r="D111" s="95" t="s">
        <v>125</v>
      </c>
      <c r="E111" s="95" t="s">
        <v>124</v>
      </c>
      <c r="F111" s="237" t="s">
        <v>77</v>
      </c>
      <c r="G111" s="95" t="s">
        <v>125</v>
      </c>
      <c r="H111" s="95" t="s">
        <v>124</v>
      </c>
      <c r="I111" s="237" t="s">
        <v>77</v>
      </c>
      <c r="J111" s="112">
        <f>11700*12</f>
        <v>140400</v>
      </c>
      <c r="K111" s="96">
        <v>0</v>
      </c>
      <c r="L111" s="96">
        <v>0</v>
      </c>
      <c r="M111" s="238">
        <f>J111</f>
        <v>140400</v>
      </c>
    </row>
    <row r="112" spans="1:13" x14ac:dyDescent="0.25">
      <c r="A112" s="105"/>
      <c r="B112" s="260"/>
      <c r="C112" s="92" t="s">
        <v>328</v>
      </c>
      <c r="D112" s="92"/>
      <c r="E112" s="92"/>
      <c r="F112" s="272"/>
      <c r="G112" s="92"/>
      <c r="H112" s="92"/>
      <c r="I112" s="272"/>
      <c r="J112" s="114" t="s">
        <v>413</v>
      </c>
      <c r="K112" s="108"/>
      <c r="L112" s="108"/>
      <c r="M112" s="105"/>
    </row>
    <row r="113" spans="1:25" x14ac:dyDescent="0.25">
      <c r="A113" s="94">
        <v>38</v>
      </c>
      <c r="B113" s="267" t="s">
        <v>47</v>
      </c>
      <c r="C113" s="95"/>
      <c r="D113" s="95" t="s">
        <v>123</v>
      </c>
      <c r="E113" s="95" t="s">
        <v>372</v>
      </c>
      <c r="F113" s="237" t="s">
        <v>71</v>
      </c>
      <c r="G113" s="95" t="s">
        <v>123</v>
      </c>
      <c r="H113" s="95" t="s">
        <v>372</v>
      </c>
      <c r="I113" s="237" t="s">
        <v>71</v>
      </c>
      <c r="J113" s="112">
        <f>((8750+40900)/2)*12</f>
        <v>297900</v>
      </c>
      <c r="K113" s="96">
        <v>0</v>
      </c>
      <c r="L113" s="96">
        <v>0</v>
      </c>
      <c r="M113" s="94" t="s">
        <v>217</v>
      </c>
    </row>
    <row r="114" spans="1:25" x14ac:dyDescent="0.25">
      <c r="A114" s="105"/>
      <c r="B114" s="279"/>
      <c r="C114" s="92"/>
      <c r="D114" s="92"/>
      <c r="E114" s="92"/>
      <c r="F114" s="272"/>
      <c r="G114" s="92"/>
      <c r="H114" s="92"/>
      <c r="I114" s="272"/>
      <c r="J114" s="283" t="s">
        <v>218</v>
      </c>
      <c r="K114" s="108"/>
      <c r="L114" s="108"/>
      <c r="M114" s="105"/>
    </row>
    <row r="115" spans="1:25" x14ac:dyDescent="0.25">
      <c r="A115" s="84"/>
      <c r="B115" s="111" t="s">
        <v>220</v>
      </c>
      <c r="C115" s="84"/>
      <c r="D115" s="91"/>
      <c r="E115" s="91"/>
      <c r="F115" s="84"/>
      <c r="G115" s="91"/>
      <c r="H115" s="91"/>
      <c r="I115" s="84"/>
      <c r="J115" s="93"/>
      <c r="K115" s="93"/>
      <c r="L115" s="93"/>
      <c r="M115" s="91"/>
    </row>
    <row r="116" spans="1:25" x14ac:dyDescent="0.25">
      <c r="A116" s="84">
        <v>39</v>
      </c>
      <c r="B116" s="91" t="s">
        <v>128</v>
      </c>
      <c r="C116" s="235" t="s">
        <v>207</v>
      </c>
      <c r="D116" s="84" t="s">
        <v>80</v>
      </c>
      <c r="E116" s="91" t="s">
        <v>164</v>
      </c>
      <c r="F116" s="84" t="s">
        <v>80</v>
      </c>
      <c r="G116" s="84" t="s">
        <v>80</v>
      </c>
      <c r="H116" s="91" t="s">
        <v>164</v>
      </c>
      <c r="I116" s="84" t="s">
        <v>80</v>
      </c>
      <c r="J116" s="168">
        <f>15250*12</f>
        <v>183000</v>
      </c>
      <c r="K116" s="93">
        <v>0</v>
      </c>
      <c r="L116" s="93">
        <v>0</v>
      </c>
      <c r="M116" s="102">
        <f>J116</f>
        <v>183000</v>
      </c>
    </row>
    <row r="117" spans="1:25" x14ac:dyDescent="0.25">
      <c r="A117" s="84"/>
      <c r="B117" s="91"/>
      <c r="C117" s="106" t="s">
        <v>330</v>
      </c>
      <c r="D117" s="84"/>
      <c r="E117" s="91"/>
      <c r="F117" s="84"/>
      <c r="G117" s="84"/>
      <c r="H117" s="91"/>
      <c r="I117" s="84"/>
      <c r="J117" s="168" t="s">
        <v>432</v>
      </c>
      <c r="K117" s="93"/>
      <c r="L117" s="93"/>
      <c r="M117" s="91"/>
    </row>
    <row r="118" spans="1:25" x14ac:dyDescent="0.25">
      <c r="A118" s="94">
        <v>40</v>
      </c>
      <c r="B118" s="95" t="s">
        <v>231</v>
      </c>
      <c r="C118" s="91" t="s">
        <v>329</v>
      </c>
      <c r="D118" s="94" t="s">
        <v>80</v>
      </c>
      <c r="E118" s="95" t="s">
        <v>171</v>
      </c>
      <c r="F118" s="94" t="s">
        <v>80</v>
      </c>
      <c r="G118" s="94" t="s">
        <v>80</v>
      </c>
      <c r="H118" s="95" t="s">
        <v>163</v>
      </c>
      <c r="I118" s="94" t="s">
        <v>80</v>
      </c>
      <c r="J118" s="189">
        <f>11680*12</f>
        <v>140160</v>
      </c>
      <c r="K118" s="96">
        <v>0</v>
      </c>
      <c r="L118" s="96">
        <v>0</v>
      </c>
      <c r="M118" s="97">
        <f>J118</f>
        <v>140160</v>
      </c>
    </row>
    <row r="119" spans="1:25" x14ac:dyDescent="0.25">
      <c r="A119" s="105"/>
      <c r="B119" s="92"/>
      <c r="C119" s="105" t="s">
        <v>331</v>
      </c>
      <c r="D119" s="105"/>
      <c r="E119" s="92"/>
      <c r="F119" s="105"/>
      <c r="G119" s="105"/>
      <c r="H119" s="92"/>
      <c r="I119" s="105"/>
      <c r="J119" s="114" t="s">
        <v>433</v>
      </c>
      <c r="K119" s="108"/>
      <c r="L119" s="108"/>
      <c r="M119" s="92"/>
    </row>
    <row r="120" spans="1:25" x14ac:dyDescent="0.25">
      <c r="A120" s="84">
        <v>41</v>
      </c>
      <c r="B120" s="261" t="s">
        <v>206</v>
      </c>
      <c r="C120" s="84" t="s">
        <v>207</v>
      </c>
      <c r="D120" s="84" t="s">
        <v>80</v>
      </c>
      <c r="E120" s="235" t="s">
        <v>172</v>
      </c>
      <c r="F120" s="84" t="s">
        <v>80</v>
      </c>
      <c r="G120" s="84" t="s">
        <v>80</v>
      </c>
      <c r="H120" s="235" t="s">
        <v>172</v>
      </c>
      <c r="I120" s="256">
        <v>0</v>
      </c>
      <c r="J120" s="93">
        <f>12380*12</f>
        <v>148560</v>
      </c>
      <c r="K120" s="93">
        <v>0</v>
      </c>
      <c r="L120" s="93">
        <v>0</v>
      </c>
      <c r="M120" s="270">
        <f>J120</f>
        <v>148560</v>
      </c>
    </row>
    <row r="121" spans="1:25" x14ac:dyDescent="0.25">
      <c r="A121" s="84"/>
      <c r="B121" s="261"/>
      <c r="C121" s="84" t="s">
        <v>332</v>
      </c>
      <c r="D121" s="84"/>
      <c r="E121" s="235"/>
      <c r="F121" s="84"/>
      <c r="G121" s="84"/>
      <c r="H121" s="235"/>
      <c r="I121" s="256"/>
      <c r="J121" s="256" t="s">
        <v>416</v>
      </c>
      <c r="K121" s="93"/>
      <c r="L121" s="93"/>
      <c r="M121" s="84"/>
    </row>
    <row r="122" spans="1:25" x14ac:dyDescent="0.25">
      <c r="A122" s="94"/>
      <c r="B122" s="239" t="s">
        <v>219</v>
      </c>
      <c r="C122" s="95"/>
      <c r="D122" s="95"/>
      <c r="E122" s="95"/>
      <c r="F122" s="95"/>
      <c r="G122" s="95"/>
      <c r="H122" s="95"/>
      <c r="I122" s="94"/>
      <c r="J122" s="212"/>
      <c r="K122" s="212"/>
      <c r="L122" s="212"/>
      <c r="M122" s="94"/>
    </row>
    <row r="123" spans="1:25" x14ac:dyDescent="0.25">
      <c r="A123" s="84">
        <v>42</v>
      </c>
      <c r="B123" s="91" t="s">
        <v>129</v>
      </c>
      <c r="C123" s="84" t="s">
        <v>88</v>
      </c>
      <c r="D123" s="84" t="s">
        <v>80</v>
      </c>
      <c r="E123" s="91" t="s">
        <v>30</v>
      </c>
      <c r="F123" s="84" t="s">
        <v>80</v>
      </c>
      <c r="G123" s="84" t="s">
        <v>80</v>
      </c>
      <c r="H123" s="91" t="s">
        <v>30</v>
      </c>
      <c r="I123" s="84" t="s">
        <v>80</v>
      </c>
      <c r="J123" s="168">
        <f>12800*12</f>
        <v>153600</v>
      </c>
      <c r="K123" s="115">
        <v>0</v>
      </c>
      <c r="L123" s="115">
        <v>0</v>
      </c>
      <c r="M123" s="270">
        <f>J123</f>
        <v>153600</v>
      </c>
    </row>
    <row r="124" spans="1:25" x14ac:dyDescent="0.25">
      <c r="A124" s="105"/>
      <c r="B124" s="92"/>
      <c r="C124" s="105" t="s">
        <v>309</v>
      </c>
      <c r="D124" s="105"/>
      <c r="E124" s="92"/>
      <c r="F124" s="105"/>
      <c r="G124" s="105"/>
      <c r="H124" s="92"/>
      <c r="I124" s="105"/>
      <c r="J124" s="114" t="s">
        <v>434</v>
      </c>
      <c r="K124" s="116"/>
      <c r="L124" s="116"/>
      <c r="M124" s="105"/>
    </row>
    <row r="125" spans="1:25" x14ac:dyDescent="0.25">
      <c r="A125" s="94">
        <v>43</v>
      </c>
      <c r="B125" s="95" t="s">
        <v>130</v>
      </c>
      <c r="C125" s="94" t="s">
        <v>169</v>
      </c>
      <c r="D125" s="94" t="s">
        <v>80</v>
      </c>
      <c r="E125" s="95" t="s">
        <v>30</v>
      </c>
      <c r="F125" s="94" t="s">
        <v>80</v>
      </c>
      <c r="G125" s="94" t="s">
        <v>80</v>
      </c>
      <c r="H125" s="95" t="s">
        <v>30</v>
      </c>
      <c r="I125" s="94" t="s">
        <v>80</v>
      </c>
      <c r="J125" s="189">
        <f>11350*12</f>
        <v>136200</v>
      </c>
      <c r="K125" s="212">
        <v>0</v>
      </c>
      <c r="L125" s="212">
        <v>0</v>
      </c>
      <c r="M125" s="238">
        <f>J125</f>
        <v>136200</v>
      </c>
      <c r="N125" s="281"/>
      <c r="O125" s="233"/>
      <c r="P125" s="233"/>
      <c r="Q125" s="233"/>
      <c r="R125" s="233"/>
      <c r="S125" s="233"/>
      <c r="T125" s="233"/>
      <c r="U125" s="233"/>
      <c r="V125" s="233"/>
      <c r="W125" s="233"/>
      <c r="X125" s="233"/>
      <c r="Y125" s="233"/>
    </row>
    <row r="126" spans="1:25" x14ac:dyDescent="0.25">
      <c r="A126" s="84"/>
      <c r="B126" s="91"/>
      <c r="C126" s="84"/>
      <c r="D126" s="84"/>
      <c r="E126" s="91"/>
      <c r="F126" s="84"/>
      <c r="G126" s="84"/>
      <c r="H126" s="91"/>
      <c r="I126" s="84"/>
      <c r="J126" s="168" t="s">
        <v>435</v>
      </c>
      <c r="K126" s="115"/>
      <c r="L126" s="115"/>
      <c r="M126" s="84"/>
      <c r="N126" s="281"/>
      <c r="O126" s="233"/>
      <c r="P126" s="233"/>
      <c r="Q126" s="233"/>
      <c r="R126" s="233"/>
      <c r="S126" s="233"/>
      <c r="T126" s="233"/>
      <c r="U126" s="233"/>
      <c r="V126" s="233"/>
      <c r="W126" s="233"/>
      <c r="X126" s="233"/>
      <c r="Y126" s="233"/>
    </row>
    <row r="127" spans="1:25" s="286" customFormat="1" x14ac:dyDescent="0.25">
      <c r="A127" s="94">
        <v>44</v>
      </c>
      <c r="B127" s="95" t="s">
        <v>93</v>
      </c>
      <c r="C127" s="95" t="s">
        <v>207</v>
      </c>
      <c r="D127" s="94" t="s">
        <v>80</v>
      </c>
      <c r="E127" s="278" t="s">
        <v>22</v>
      </c>
      <c r="F127" s="94" t="s">
        <v>80</v>
      </c>
      <c r="G127" s="94" t="s">
        <v>80</v>
      </c>
      <c r="H127" s="278" t="s">
        <v>22</v>
      </c>
      <c r="I127" s="94" t="s">
        <v>80</v>
      </c>
      <c r="J127" s="96">
        <f>10030*12</f>
        <v>120360</v>
      </c>
      <c r="K127" s="96">
        <v>0</v>
      </c>
      <c r="L127" s="96">
        <v>0</v>
      </c>
      <c r="M127" s="97">
        <f>J127</f>
        <v>120360</v>
      </c>
      <c r="N127" s="233"/>
      <c r="O127" s="233"/>
      <c r="P127" s="233"/>
      <c r="Q127" s="233"/>
      <c r="R127" s="233"/>
      <c r="S127" s="233"/>
      <c r="T127" s="233"/>
      <c r="U127" s="233"/>
      <c r="V127" s="233"/>
      <c r="W127" s="233"/>
      <c r="X127" s="233"/>
      <c r="Y127" s="233"/>
    </row>
    <row r="128" spans="1:25" s="233" customFormat="1" x14ac:dyDescent="0.25">
      <c r="A128" s="87"/>
      <c r="B128" s="86"/>
      <c r="C128" s="86" t="s">
        <v>324</v>
      </c>
      <c r="D128" s="87"/>
      <c r="E128" s="86"/>
      <c r="F128" s="87"/>
      <c r="G128" s="87"/>
      <c r="H128" s="86"/>
      <c r="I128" s="87"/>
      <c r="J128" s="400" t="s">
        <v>420</v>
      </c>
      <c r="K128" s="431"/>
      <c r="L128" s="431"/>
      <c r="M128" s="86"/>
    </row>
    <row r="129" spans="1:13" s="233" customFormat="1" x14ac:dyDescent="0.25">
      <c r="A129" s="474"/>
      <c r="B129" s="110"/>
      <c r="C129" s="110"/>
      <c r="D129" s="474"/>
      <c r="E129" s="110"/>
      <c r="F129" s="474"/>
      <c r="G129" s="474"/>
      <c r="H129" s="110"/>
      <c r="I129" s="474"/>
      <c r="J129" s="287"/>
      <c r="K129" s="432"/>
      <c r="L129" s="432"/>
      <c r="M129" s="110"/>
    </row>
    <row r="130" spans="1:13" s="233" customFormat="1" x14ac:dyDescent="0.25">
      <c r="A130" s="474"/>
      <c r="B130" s="110"/>
      <c r="C130" s="110"/>
      <c r="D130" s="474"/>
      <c r="E130" s="110"/>
      <c r="F130" s="474"/>
      <c r="G130" s="474"/>
      <c r="H130" s="110"/>
      <c r="I130" s="474"/>
      <c r="J130" s="287"/>
      <c r="K130" s="432"/>
      <c r="L130" s="432"/>
      <c r="M130" s="110"/>
    </row>
    <row r="131" spans="1:13" s="233" customFormat="1" x14ac:dyDescent="0.25">
      <c r="A131" s="474"/>
      <c r="B131" s="110"/>
      <c r="C131" s="110"/>
      <c r="D131" s="474"/>
      <c r="E131" s="110"/>
      <c r="F131" s="474"/>
      <c r="G131" s="474"/>
      <c r="H131" s="110"/>
      <c r="I131" s="474"/>
      <c r="J131" s="287"/>
      <c r="K131" s="432"/>
      <c r="L131" s="432"/>
      <c r="M131" s="110"/>
    </row>
    <row r="132" spans="1:13" s="233" customFormat="1" x14ac:dyDescent="0.25">
      <c r="A132" s="474"/>
      <c r="B132" s="110"/>
      <c r="C132" s="110"/>
      <c r="D132" s="474"/>
      <c r="E132" s="110"/>
      <c r="F132" s="474"/>
      <c r="G132" s="474"/>
      <c r="H132" s="110"/>
      <c r="I132" s="474"/>
      <c r="J132" s="287"/>
      <c r="K132" s="432"/>
      <c r="L132" s="432"/>
      <c r="M132" s="110"/>
    </row>
    <row r="133" spans="1:13" s="233" customFormat="1" x14ac:dyDescent="0.25">
      <c r="A133" s="474"/>
      <c r="B133" s="110"/>
      <c r="C133" s="474"/>
      <c r="D133" s="474"/>
      <c r="E133" s="110"/>
      <c r="F133" s="474"/>
      <c r="G133" s="474"/>
      <c r="H133" s="110"/>
      <c r="I133" s="474"/>
      <c r="J133" s="287"/>
      <c r="K133" s="288"/>
      <c r="L133" s="288"/>
      <c r="M133" s="474"/>
    </row>
    <row r="134" spans="1:13" s="233" customFormat="1" x14ac:dyDescent="0.25">
      <c r="A134" s="474"/>
      <c r="B134" s="110"/>
      <c r="C134" s="474"/>
      <c r="D134" s="474"/>
      <c r="E134" s="110"/>
      <c r="F134" s="474"/>
      <c r="G134" s="474"/>
      <c r="H134" s="110"/>
      <c r="I134" s="474"/>
      <c r="J134" s="287"/>
      <c r="K134" s="288"/>
      <c r="L134" s="288"/>
      <c r="M134" s="474"/>
    </row>
    <row r="135" spans="1:13" s="233" customFormat="1" x14ac:dyDescent="0.25">
      <c r="A135" s="515" t="s">
        <v>1</v>
      </c>
      <c r="B135" s="515" t="s">
        <v>32</v>
      </c>
      <c r="C135" s="82" t="s">
        <v>33</v>
      </c>
      <c r="D135" s="518" t="s">
        <v>34</v>
      </c>
      <c r="E135" s="519"/>
      <c r="F135" s="519"/>
      <c r="G135" s="518" t="s">
        <v>35</v>
      </c>
      <c r="H135" s="519"/>
      <c r="I135" s="520"/>
      <c r="J135" s="521" t="s">
        <v>36</v>
      </c>
      <c r="K135" s="522"/>
      <c r="L135" s="523"/>
      <c r="M135" s="83"/>
    </row>
    <row r="136" spans="1:13" s="233" customFormat="1" x14ac:dyDescent="0.25">
      <c r="A136" s="516"/>
      <c r="B136" s="516"/>
      <c r="C136" s="84" t="s">
        <v>37</v>
      </c>
      <c r="D136" s="515" t="s">
        <v>38</v>
      </c>
      <c r="E136" s="515" t="s">
        <v>39</v>
      </c>
      <c r="F136" s="515" t="s">
        <v>40</v>
      </c>
      <c r="G136" s="515" t="s">
        <v>38</v>
      </c>
      <c r="H136" s="515" t="s">
        <v>39</v>
      </c>
      <c r="I136" s="515" t="s">
        <v>40</v>
      </c>
      <c r="J136" s="515" t="s">
        <v>36</v>
      </c>
      <c r="K136" s="515" t="s">
        <v>41</v>
      </c>
      <c r="L136" s="82" t="s">
        <v>232</v>
      </c>
      <c r="M136" s="472" t="s">
        <v>42</v>
      </c>
    </row>
    <row r="137" spans="1:13" x14ac:dyDescent="0.25">
      <c r="A137" s="517"/>
      <c r="B137" s="517"/>
      <c r="C137" s="86"/>
      <c r="D137" s="517"/>
      <c r="E137" s="517"/>
      <c r="F137" s="517"/>
      <c r="G137" s="517"/>
      <c r="H137" s="517"/>
      <c r="I137" s="517"/>
      <c r="J137" s="517"/>
      <c r="K137" s="517"/>
      <c r="L137" s="87" t="s">
        <v>233</v>
      </c>
      <c r="M137" s="88"/>
    </row>
    <row r="138" spans="1:13" x14ac:dyDescent="0.25">
      <c r="A138" s="84"/>
      <c r="B138" s="111" t="s">
        <v>21</v>
      </c>
      <c r="C138" s="84"/>
      <c r="D138" s="84"/>
      <c r="E138" s="84"/>
      <c r="F138" s="84"/>
      <c r="G138" s="84"/>
      <c r="H138" s="91"/>
      <c r="I138" s="84"/>
      <c r="J138" s="93"/>
      <c r="K138" s="115"/>
      <c r="L138" s="115"/>
      <c r="M138" s="84"/>
    </row>
    <row r="139" spans="1:13" x14ac:dyDescent="0.25">
      <c r="A139" s="84">
        <v>45</v>
      </c>
      <c r="B139" s="91" t="s">
        <v>131</v>
      </c>
      <c r="C139" s="84" t="s">
        <v>207</v>
      </c>
      <c r="D139" s="84" t="s">
        <v>80</v>
      </c>
      <c r="E139" s="91" t="s">
        <v>133</v>
      </c>
      <c r="F139" s="84" t="s">
        <v>80</v>
      </c>
      <c r="G139" s="84" t="s">
        <v>80</v>
      </c>
      <c r="H139" s="91" t="s">
        <v>133</v>
      </c>
      <c r="I139" s="84" t="s">
        <v>80</v>
      </c>
      <c r="J139" s="93">
        <f>9000*12</f>
        <v>108000</v>
      </c>
      <c r="K139" s="115">
        <v>0</v>
      </c>
      <c r="L139" s="115">
        <v>0</v>
      </c>
      <c r="M139" s="270">
        <f>J139</f>
        <v>108000</v>
      </c>
    </row>
    <row r="140" spans="1:13" x14ac:dyDescent="0.25">
      <c r="A140" s="84"/>
      <c r="B140" s="91"/>
      <c r="C140" s="84" t="s">
        <v>326</v>
      </c>
      <c r="D140" s="84"/>
      <c r="E140" s="91"/>
      <c r="F140" s="84"/>
      <c r="G140" s="84"/>
      <c r="H140" s="91"/>
      <c r="I140" s="84"/>
      <c r="J140" s="256" t="s">
        <v>222</v>
      </c>
      <c r="K140" s="115"/>
      <c r="L140" s="115"/>
      <c r="M140" s="84"/>
    </row>
    <row r="141" spans="1:13" x14ac:dyDescent="0.25">
      <c r="A141" s="94">
        <v>46</v>
      </c>
      <c r="B141" s="95" t="s">
        <v>134</v>
      </c>
      <c r="C141" s="94" t="s">
        <v>132</v>
      </c>
      <c r="D141" s="94" t="s">
        <v>80</v>
      </c>
      <c r="E141" s="95" t="s">
        <v>133</v>
      </c>
      <c r="F141" s="94" t="s">
        <v>80</v>
      </c>
      <c r="G141" s="94" t="s">
        <v>80</v>
      </c>
      <c r="H141" s="95" t="s">
        <v>133</v>
      </c>
      <c r="I141" s="94" t="s">
        <v>80</v>
      </c>
      <c r="J141" s="96">
        <f>9000*12</f>
        <v>108000</v>
      </c>
      <c r="K141" s="212">
        <v>0</v>
      </c>
      <c r="L141" s="212">
        <v>0</v>
      </c>
      <c r="M141" s="238">
        <f>J141</f>
        <v>108000</v>
      </c>
    </row>
    <row r="142" spans="1:13" x14ac:dyDescent="0.25">
      <c r="A142" s="105"/>
      <c r="B142" s="92"/>
      <c r="C142" s="105"/>
      <c r="D142" s="105"/>
      <c r="E142" s="92"/>
      <c r="F142" s="105"/>
      <c r="G142" s="105"/>
      <c r="H142" s="92"/>
      <c r="I142" s="105"/>
      <c r="J142" s="285" t="s">
        <v>222</v>
      </c>
      <c r="K142" s="116"/>
      <c r="L142" s="116"/>
      <c r="M142" s="105"/>
    </row>
    <row r="143" spans="1:13" x14ac:dyDescent="0.25">
      <c r="A143" s="84">
        <v>47</v>
      </c>
      <c r="B143" s="261" t="s">
        <v>173</v>
      </c>
      <c r="C143" s="84" t="s">
        <v>228</v>
      </c>
      <c r="D143" s="84" t="s">
        <v>80</v>
      </c>
      <c r="E143" s="91" t="s">
        <v>30</v>
      </c>
      <c r="F143" s="84" t="s">
        <v>80</v>
      </c>
      <c r="G143" s="84" t="s">
        <v>80</v>
      </c>
      <c r="H143" s="91" t="s">
        <v>30</v>
      </c>
      <c r="I143" s="84" t="s">
        <v>135</v>
      </c>
      <c r="J143" s="93">
        <f t="shared" ref="J143:J145" si="0">9000*12</f>
        <v>108000</v>
      </c>
      <c r="K143" s="115">
        <v>0</v>
      </c>
      <c r="L143" s="115">
        <v>0</v>
      </c>
      <c r="M143" s="270">
        <f>J143</f>
        <v>108000</v>
      </c>
    </row>
    <row r="144" spans="1:13" x14ac:dyDescent="0.25">
      <c r="A144" s="84"/>
      <c r="B144" s="261"/>
      <c r="C144" s="84"/>
      <c r="D144" s="84"/>
      <c r="E144" s="91"/>
      <c r="F144" s="84"/>
      <c r="G144" s="84"/>
      <c r="H144" s="91"/>
      <c r="I144" s="84"/>
      <c r="J144" s="256" t="s">
        <v>222</v>
      </c>
      <c r="K144" s="115"/>
      <c r="L144" s="115"/>
      <c r="M144" s="84"/>
    </row>
    <row r="145" spans="1:13" x14ac:dyDescent="0.25">
      <c r="A145" s="94">
        <v>48</v>
      </c>
      <c r="B145" s="259" t="s">
        <v>208</v>
      </c>
      <c r="C145" s="94" t="s">
        <v>207</v>
      </c>
      <c r="D145" s="94" t="s">
        <v>80</v>
      </c>
      <c r="E145" s="95" t="s">
        <v>30</v>
      </c>
      <c r="F145" s="94" t="s">
        <v>80</v>
      </c>
      <c r="G145" s="94" t="s">
        <v>80</v>
      </c>
      <c r="H145" s="95" t="s">
        <v>30</v>
      </c>
      <c r="I145" s="94" t="s">
        <v>80</v>
      </c>
      <c r="J145" s="96">
        <f t="shared" si="0"/>
        <v>108000</v>
      </c>
      <c r="K145" s="212">
        <v>0</v>
      </c>
      <c r="L145" s="212">
        <v>0</v>
      </c>
      <c r="M145" s="238">
        <f>J145</f>
        <v>108000</v>
      </c>
    </row>
    <row r="146" spans="1:13" ht="15.75" thickBot="1" x14ac:dyDescent="0.3">
      <c r="A146" s="350"/>
      <c r="B146" s="351"/>
      <c r="C146" s="99" t="s">
        <v>328</v>
      </c>
      <c r="D146" s="351"/>
      <c r="E146" s="351"/>
      <c r="F146" s="351"/>
      <c r="G146" s="351"/>
      <c r="H146" s="351"/>
      <c r="I146" s="351"/>
      <c r="J146" s="265" t="s">
        <v>222</v>
      </c>
      <c r="K146" s="351"/>
      <c r="L146" s="351"/>
      <c r="M146" s="351"/>
    </row>
    <row r="147" spans="1:13" x14ac:dyDescent="0.25">
      <c r="A147" s="344"/>
      <c r="B147" s="352" t="s">
        <v>342</v>
      </c>
      <c r="C147" s="344"/>
      <c r="D147" s="344"/>
      <c r="E147" s="346"/>
      <c r="F147" s="344"/>
      <c r="G147" s="344"/>
      <c r="H147" s="346"/>
      <c r="I147" s="344"/>
      <c r="J147" s="348"/>
      <c r="K147" s="353"/>
      <c r="L147" s="353"/>
      <c r="M147" s="344"/>
    </row>
    <row r="148" spans="1:13" x14ac:dyDescent="0.25">
      <c r="A148" s="84"/>
      <c r="B148" s="101" t="s">
        <v>50</v>
      </c>
      <c r="C148" s="84"/>
      <c r="D148" s="84"/>
      <c r="E148" s="91"/>
      <c r="F148" s="84"/>
      <c r="G148" s="84"/>
      <c r="H148" s="91"/>
      <c r="I148" s="84"/>
      <c r="J148" s="93"/>
      <c r="K148" s="115"/>
      <c r="L148" s="115"/>
      <c r="M148" s="84"/>
    </row>
    <row r="149" spans="1:13" x14ac:dyDescent="0.25">
      <c r="A149" s="84">
        <v>49</v>
      </c>
      <c r="B149" s="261" t="s">
        <v>209</v>
      </c>
      <c r="C149" s="235" t="s">
        <v>333</v>
      </c>
      <c r="D149" s="84" t="s">
        <v>174</v>
      </c>
      <c r="E149" s="91" t="s">
        <v>345</v>
      </c>
      <c r="F149" s="84" t="s">
        <v>49</v>
      </c>
      <c r="G149" s="84" t="s">
        <v>174</v>
      </c>
      <c r="H149" s="91" t="s">
        <v>345</v>
      </c>
      <c r="I149" s="84" t="s">
        <v>49</v>
      </c>
      <c r="J149" s="93">
        <f>30790*12</f>
        <v>369480</v>
      </c>
      <c r="K149" s="115">
        <f>3500*12</f>
        <v>42000</v>
      </c>
      <c r="L149" s="93">
        <v>0</v>
      </c>
      <c r="M149" s="270">
        <f>SUM(J149:L149)</f>
        <v>411480</v>
      </c>
    </row>
    <row r="150" spans="1:13" x14ac:dyDescent="0.25">
      <c r="A150" s="105"/>
      <c r="B150" s="92"/>
      <c r="C150" s="105" t="s">
        <v>334</v>
      </c>
      <c r="D150" s="105"/>
      <c r="E150" s="92" t="s">
        <v>346</v>
      </c>
      <c r="F150" s="105"/>
      <c r="G150" s="105"/>
      <c r="H150" s="92" t="s">
        <v>346</v>
      </c>
      <c r="I150" s="105"/>
      <c r="J150" s="285" t="s">
        <v>411</v>
      </c>
      <c r="K150" s="354" t="s">
        <v>214</v>
      </c>
      <c r="L150" s="116"/>
      <c r="M150" s="105"/>
    </row>
    <row r="151" spans="1:13" x14ac:dyDescent="0.25">
      <c r="A151" s="84">
        <v>50</v>
      </c>
      <c r="B151" s="261" t="s">
        <v>167</v>
      </c>
      <c r="C151" s="91" t="s">
        <v>335</v>
      </c>
      <c r="D151" s="91" t="s">
        <v>236</v>
      </c>
      <c r="E151" s="91" t="s">
        <v>147</v>
      </c>
      <c r="F151" s="84" t="s">
        <v>65</v>
      </c>
      <c r="G151" s="91" t="s">
        <v>236</v>
      </c>
      <c r="H151" s="91" t="s">
        <v>147</v>
      </c>
      <c r="I151" s="84" t="s">
        <v>65</v>
      </c>
      <c r="J151" s="93">
        <f>25270*12</f>
        <v>303240</v>
      </c>
      <c r="K151" s="93">
        <v>0</v>
      </c>
      <c r="L151" s="93">
        <v>0</v>
      </c>
      <c r="M151" s="270">
        <f>J151</f>
        <v>303240</v>
      </c>
    </row>
    <row r="152" spans="1:13" x14ac:dyDescent="0.25">
      <c r="A152" s="84"/>
      <c r="B152" s="261"/>
      <c r="C152" s="91" t="s">
        <v>336</v>
      </c>
      <c r="D152" s="91"/>
      <c r="E152" s="91"/>
      <c r="F152" s="84"/>
      <c r="G152" s="91"/>
      <c r="H152" s="91"/>
      <c r="I152" s="84"/>
      <c r="J152" s="256" t="s">
        <v>436</v>
      </c>
      <c r="K152" s="93"/>
      <c r="L152" s="93"/>
      <c r="M152" s="84"/>
    </row>
    <row r="153" spans="1:13" x14ac:dyDescent="0.25">
      <c r="A153" s="94">
        <v>51</v>
      </c>
      <c r="B153" s="267" t="s">
        <v>47</v>
      </c>
      <c r="C153" s="94" t="s">
        <v>80</v>
      </c>
      <c r="D153" s="84" t="s">
        <v>80</v>
      </c>
      <c r="E153" s="275" t="s">
        <v>80</v>
      </c>
      <c r="F153" s="275" t="s">
        <v>80</v>
      </c>
      <c r="G153" s="95" t="s">
        <v>99</v>
      </c>
      <c r="H153" s="95" t="s">
        <v>98</v>
      </c>
      <c r="I153" s="94" t="s">
        <v>392</v>
      </c>
      <c r="J153" s="476">
        <f>29110*12</f>
        <v>349320</v>
      </c>
      <c r="K153" s="96">
        <v>0</v>
      </c>
      <c r="L153" s="96">
        <v>0</v>
      </c>
      <c r="M153" s="97">
        <f>J153</f>
        <v>349320</v>
      </c>
    </row>
    <row r="154" spans="1:13" x14ac:dyDescent="0.25">
      <c r="A154" s="105"/>
      <c r="B154" s="260"/>
      <c r="C154" s="92"/>
      <c r="D154" s="92"/>
      <c r="E154" s="92"/>
      <c r="F154" s="105"/>
      <c r="G154" s="91"/>
      <c r="H154" s="91"/>
      <c r="I154" s="84"/>
      <c r="J154" s="168" t="s">
        <v>422</v>
      </c>
      <c r="K154" s="93"/>
      <c r="L154" s="93"/>
      <c r="M154" s="102"/>
    </row>
    <row r="155" spans="1:13" x14ac:dyDescent="0.25">
      <c r="A155" s="94"/>
      <c r="B155" s="355" t="s">
        <v>220</v>
      </c>
      <c r="C155" s="95"/>
      <c r="D155" s="254"/>
      <c r="E155" s="254"/>
      <c r="F155" s="254"/>
      <c r="G155" s="254"/>
      <c r="H155" s="254"/>
      <c r="I155" s="254"/>
      <c r="J155" s="254"/>
      <c r="K155" s="254"/>
      <c r="L155" s="94"/>
      <c r="M155" s="255"/>
    </row>
    <row r="156" spans="1:13" x14ac:dyDescent="0.25">
      <c r="A156" s="84">
        <v>52</v>
      </c>
      <c r="B156" s="91" t="s">
        <v>373</v>
      </c>
      <c r="C156" s="91" t="s">
        <v>335</v>
      </c>
      <c r="D156" s="84" t="s">
        <v>80</v>
      </c>
      <c r="E156" s="91" t="s">
        <v>18</v>
      </c>
      <c r="F156" s="84" t="s">
        <v>80</v>
      </c>
      <c r="G156" s="84" t="s">
        <v>80</v>
      </c>
      <c r="H156" s="91" t="s">
        <v>18</v>
      </c>
      <c r="I156" s="84" t="s">
        <v>80</v>
      </c>
      <c r="J156" s="129">
        <f>20370*12</f>
        <v>244440</v>
      </c>
      <c r="K156" s="93">
        <v>0</v>
      </c>
      <c r="L156" s="93">
        <v>0</v>
      </c>
      <c r="M156" s="102">
        <f>J156</f>
        <v>244440</v>
      </c>
    </row>
    <row r="157" spans="1:13" x14ac:dyDescent="0.25">
      <c r="A157" s="105"/>
      <c r="B157" s="92"/>
      <c r="C157" s="92" t="s">
        <v>339</v>
      </c>
      <c r="D157" s="105"/>
      <c r="E157" s="92"/>
      <c r="F157" s="105"/>
      <c r="G157" s="105"/>
      <c r="H157" s="92"/>
      <c r="I157" s="105"/>
      <c r="J157" s="114" t="s">
        <v>437</v>
      </c>
      <c r="K157" s="108"/>
      <c r="L157" s="108"/>
      <c r="M157" s="92"/>
    </row>
    <row r="158" spans="1:13" x14ac:dyDescent="0.25">
      <c r="A158" s="84"/>
      <c r="B158" s="342" t="s">
        <v>340</v>
      </c>
      <c r="C158" s="91"/>
      <c r="D158" s="91"/>
      <c r="E158" s="91"/>
      <c r="F158" s="84"/>
      <c r="G158" s="91"/>
      <c r="H158" s="91"/>
      <c r="I158" s="84"/>
      <c r="J158" s="256"/>
      <c r="K158" s="93"/>
      <c r="L158" s="93"/>
      <c r="M158" s="84"/>
    </row>
    <row r="159" spans="1:13" x14ac:dyDescent="0.25">
      <c r="A159" s="84">
        <v>53</v>
      </c>
      <c r="B159" s="91" t="s">
        <v>81</v>
      </c>
      <c r="C159" s="91" t="s">
        <v>306</v>
      </c>
      <c r="D159" s="91" t="s">
        <v>237</v>
      </c>
      <c r="E159" s="91" t="s">
        <v>79</v>
      </c>
      <c r="F159" s="84" t="s">
        <v>80</v>
      </c>
      <c r="G159" s="91" t="s">
        <v>237</v>
      </c>
      <c r="H159" s="91" t="s">
        <v>79</v>
      </c>
      <c r="I159" s="84" t="s">
        <v>80</v>
      </c>
      <c r="J159" s="204">
        <v>0</v>
      </c>
      <c r="K159" s="204">
        <v>0</v>
      </c>
      <c r="L159" s="204">
        <v>0</v>
      </c>
      <c r="M159" s="84" t="s">
        <v>243</v>
      </c>
    </row>
    <row r="160" spans="1:13" x14ac:dyDescent="0.25">
      <c r="A160" s="84"/>
      <c r="B160" s="91"/>
      <c r="C160" s="91" t="s">
        <v>338</v>
      </c>
      <c r="D160" s="91"/>
      <c r="E160" s="91"/>
      <c r="F160" s="84"/>
      <c r="G160" s="91"/>
      <c r="H160" s="91"/>
      <c r="I160" s="84"/>
      <c r="J160" s="204"/>
      <c r="K160" s="204"/>
      <c r="L160" s="204"/>
      <c r="M160" s="84"/>
    </row>
    <row r="161" spans="1:13" x14ac:dyDescent="0.25">
      <c r="A161" s="94">
        <v>54</v>
      </c>
      <c r="B161" s="95" t="s">
        <v>87</v>
      </c>
      <c r="C161" s="95" t="s">
        <v>88</v>
      </c>
      <c r="D161" s="95" t="s">
        <v>242</v>
      </c>
      <c r="E161" s="95" t="s">
        <v>79</v>
      </c>
      <c r="F161" s="94" t="s">
        <v>80</v>
      </c>
      <c r="G161" s="95" t="s">
        <v>242</v>
      </c>
      <c r="H161" s="95" t="s">
        <v>79</v>
      </c>
      <c r="I161" s="94" t="s">
        <v>80</v>
      </c>
      <c r="J161" s="104">
        <v>0</v>
      </c>
      <c r="K161" s="104">
        <v>0</v>
      </c>
      <c r="L161" s="104">
        <v>0</v>
      </c>
      <c r="M161" s="94" t="s">
        <v>243</v>
      </c>
    </row>
    <row r="162" spans="1:13" x14ac:dyDescent="0.25">
      <c r="A162" s="87"/>
      <c r="B162" s="86"/>
      <c r="C162" s="86" t="s">
        <v>337</v>
      </c>
      <c r="D162" s="86"/>
      <c r="E162" s="86"/>
      <c r="F162" s="87"/>
      <c r="G162" s="86"/>
      <c r="H162" s="86"/>
      <c r="I162" s="87"/>
      <c r="J162" s="290"/>
      <c r="K162" s="290"/>
      <c r="L162" s="290"/>
      <c r="M162" s="87"/>
    </row>
    <row r="166" spans="1:13" x14ac:dyDescent="0.25">
      <c r="A166" s="474"/>
      <c r="B166" s="110"/>
      <c r="C166" s="110"/>
      <c r="D166" s="110"/>
      <c r="E166" s="110"/>
      <c r="F166" s="474"/>
      <c r="G166" s="110"/>
      <c r="H166" s="110"/>
      <c r="I166" s="474"/>
      <c r="J166" s="210"/>
      <c r="K166" s="210"/>
      <c r="L166" s="210"/>
      <c r="M166" s="474"/>
    </row>
    <row r="167" spans="1:13" x14ac:dyDescent="0.25">
      <c r="A167" s="474"/>
      <c r="B167" s="110"/>
      <c r="C167" s="110"/>
      <c r="D167" s="110"/>
      <c r="E167" s="110"/>
      <c r="F167" s="474"/>
      <c r="G167" s="110"/>
      <c r="H167" s="110"/>
      <c r="I167" s="474"/>
      <c r="J167" s="210"/>
      <c r="K167" s="210"/>
      <c r="L167" s="210"/>
      <c r="M167" s="474"/>
    </row>
    <row r="168" spans="1:13" x14ac:dyDescent="0.25">
      <c r="A168" s="515" t="s">
        <v>1</v>
      </c>
      <c r="B168" s="515" t="s">
        <v>32</v>
      </c>
      <c r="C168" s="82" t="s">
        <v>33</v>
      </c>
      <c r="D168" s="518" t="s">
        <v>34</v>
      </c>
      <c r="E168" s="519"/>
      <c r="F168" s="519"/>
      <c r="G168" s="518" t="s">
        <v>35</v>
      </c>
      <c r="H168" s="519"/>
      <c r="I168" s="520"/>
      <c r="J168" s="521" t="s">
        <v>36</v>
      </c>
      <c r="K168" s="522"/>
      <c r="L168" s="523"/>
      <c r="M168" s="83"/>
    </row>
    <row r="169" spans="1:13" x14ac:dyDescent="0.25">
      <c r="A169" s="516"/>
      <c r="B169" s="516"/>
      <c r="C169" s="84" t="s">
        <v>37</v>
      </c>
      <c r="D169" s="515" t="s">
        <v>38</v>
      </c>
      <c r="E169" s="515" t="s">
        <v>39</v>
      </c>
      <c r="F169" s="515" t="s">
        <v>40</v>
      </c>
      <c r="G169" s="515" t="s">
        <v>38</v>
      </c>
      <c r="H169" s="515" t="s">
        <v>39</v>
      </c>
      <c r="I169" s="515" t="s">
        <v>40</v>
      </c>
      <c r="J169" s="515" t="s">
        <v>36</v>
      </c>
      <c r="K169" s="515" t="s">
        <v>41</v>
      </c>
      <c r="L169" s="82" t="s">
        <v>232</v>
      </c>
      <c r="M169" s="472" t="s">
        <v>42</v>
      </c>
    </row>
    <row r="170" spans="1:13" x14ac:dyDescent="0.25">
      <c r="A170" s="517"/>
      <c r="B170" s="517"/>
      <c r="C170" s="86"/>
      <c r="D170" s="517"/>
      <c r="E170" s="517"/>
      <c r="F170" s="517"/>
      <c r="G170" s="517"/>
      <c r="H170" s="517"/>
      <c r="I170" s="517"/>
      <c r="J170" s="517"/>
      <c r="K170" s="517"/>
      <c r="L170" s="87" t="s">
        <v>233</v>
      </c>
      <c r="M170" s="88"/>
    </row>
    <row r="171" spans="1:13" x14ac:dyDescent="0.25">
      <c r="A171" s="84"/>
      <c r="B171" s="234" t="s">
        <v>219</v>
      </c>
      <c r="C171" s="91"/>
      <c r="D171" s="91"/>
      <c r="E171" s="91"/>
      <c r="F171" s="84"/>
      <c r="G171" s="91"/>
      <c r="H171" s="91"/>
      <c r="I171" s="84"/>
      <c r="J171" s="204"/>
      <c r="K171" s="204"/>
      <c r="L171" s="204"/>
      <c r="M171" s="84"/>
    </row>
    <row r="172" spans="1:13" x14ac:dyDescent="0.25">
      <c r="A172" s="84">
        <v>55</v>
      </c>
      <c r="B172" s="91" t="s">
        <v>368</v>
      </c>
      <c r="C172" s="91" t="s">
        <v>88</v>
      </c>
      <c r="D172" s="84" t="s">
        <v>80</v>
      </c>
      <c r="E172" s="91" t="s">
        <v>191</v>
      </c>
      <c r="F172" s="84" t="s">
        <v>80</v>
      </c>
      <c r="G172" s="84" t="s">
        <v>80</v>
      </c>
      <c r="H172" s="91" t="s">
        <v>191</v>
      </c>
      <c r="I172" s="84" t="s">
        <v>80</v>
      </c>
      <c r="J172" s="289">
        <f>(13270-9400)*12</f>
        <v>46440</v>
      </c>
      <c r="K172" s="204">
        <v>0</v>
      </c>
      <c r="L172" s="204">
        <v>0</v>
      </c>
      <c r="M172" s="102">
        <f>J172</f>
        <v>46440</v>
      </c>
    </row>
    <row r="173" spans="1:13" x14ac:dyDescent="0.25">
      <c r="A173" s="87"/>
      <c r="B173" s="269"/>
      <c r="C173" s="269" t="s">
        <v>337</v>
      </c>
      <c r="D173" s="269"/>
      <c r="E173" s="269"/>
      <c r="F173" s="269"/>
      <c r="G173" s="269"/>
      <c r="H173" s="269"/>
      <c r="I173" s="269"/>
      <c r="J173" s="87" t="s">
        <v>438</v>
      </c>
      <c r="K173" s="269"/>
      <c r="L173" s="269"/>
      <c r="M173" s="269"/>
    </row>
    <row r="174" spans="1:13" x14ac:dyDescent="0.25">
      <c r="A174" s="82"/>
      <c r="B174" s="357" t="s">
        <v>21</v>
      </c>
      <c r="C174" s="83"/>
      <c r="D174" s="83"/>
      <c r="E174" s="83"/>
      <c r="F174" s="82"/>
      <c r="G174" s="83"/>
      <c r="H174" s="83"/>
      <c r="I174" s="82"/>
      <c r="J174" s="358"/>
      <c r="K174" s="89"/>
      <c r="L174" s="89"/>
      <c r="M174" s="82"/>
    </row>
    <row r="175" spans="1:13" x14ac:dyDescent="0.25">
      <c r="A175" s="84">
        <v>56</v>
      </c>
      <c r="B175" s="427" t="s">
        <v>439</v>
      </c>
      <c r="C175" s="268" t="s">
        <v>440</v>
      </c>
      <c r="D175" s="275" t="s">
        <v>80</v>
      </c>
      <c r="E175" s="268" t="s">
        <v>211</v>
      </c>
      <c r="F175" s="275" t="s">
        <v>80</v>
      </c>
      <c r="G175" s="275" t="s">
        <v>80</v>
      </c>
      <c r="H175" s="268" t="s">
        <v>211</v>
      </c>
      <c r="I175" s="268"/>
      <c r="J175" s="291">
        <f>9000*12</f>
        <v>108000</v>
      </c>
      <c r="K175" s="204">
        <v>0</v>
      </c>
      <c r="L175" s="204">
        <v>0</v>
      </c>
      <c r="M175" s="428">
        <f>J175</f>
        <v>108000</v>
      </c>
    </row>
    <row r="176" spans="1:13" x14ac:dyDescent="0.25">
      <c r="A176" s="105"/>
      <c r="B176" s="294"/>
      <c r="C176" s="280" t="s">
        <v>441</v>
      </c>
      <c r="D176" s="257"/>
      <c r="E176" s="280"/>
      <c r="F176" s="257"/>
      <c r="G176" s="257"/>
      <c r="H176" s="280"/>
      <c r="I176" s="280"/>
      <c r="J176" s="257" t="s">
        <v>222</v>
      </c>
      <c r="K176" s="257"/>
      <c r="L176" s="257"/>
      <c r="M176" s="280"/>
    </row>
    <row r="177" spans="1:13" x14ac:dyDescent="0.25">
      <c r="A177" s="84"/>
      <c r="B177" s="342" t="s">
        <v>341</v>
      </c>
      <c r="C177" s="91"/>
      <c r="D177" s="91"/>
      <c r="E177" s="91"/>
      <c r="F177" s="84"/>
      <c r="G177" s="91"/>
      <c r="H177" s="91"/>
      <c r="I177" s="84"/>
      <c r="J177" s="256"/>
      <c r="K177" s="93"/>
      <c r="L177" s="93"/>
      <c r="M177" s="84"/>
    </row>
    <row r="178" spans="1:13" x14ac:dyDescent="0.25">
      <c r="A178" s="84">
        <v>57</v>
      </c>
      <c r="B178" s="91" t="s">
        <v>78</v>
      </c>
      <c r="C178" s="91" t="s">
        <v>335</v>
      </c>
      <c r="D178" s="91" t="s">
        <v>235</v>
      </c>
      <c r="E178" s="91" t="s">
        <v>234</v>
      </c>
      <c r="F178" s="84" t="s">
        <v>56</v>
      </c>
      <c r="G178" s="91" t="s">
        <v>235</v>
      </c>
      <c r="H178" s="91" t="s">
        <v>234</v>
      </c>
      <c r="I178" s="84" t="s">
        <v>56</v>
      </c>
      <c r="J178" s="204">
        <v>0</v>
      </c>
      <c r="K178" s="204">
        <v>0</v>
      </c>
      <c r="L178" s="204">
        <v>0</v>
      </c>
      <c r="M178" s="84" t="s">
        <v>243</v>
      </c>
    </row>
    <row r="179" spans="1:13" x14ac:dyDescent="0.25">
      <c r="A179" s="84"/>
      <c r="B179" s="91"/>
      <c r="C179" s="91" t="s">
        <v>337</v>
      </c>
      <c r="D179" s="91"/>
      <c r="E179" s="91"/>
      <c r="F179" s="84"/>
      <c r="G179" s="91"/>
      <c r="H179" s="91"/>
      <c r="I179" s="84"/>
      <c r="J179" s="204"/>
      <c r="K179" s="204"/>
      <c r="L179" s="204"/>
      <c r="M179" s="84"/>
    </row>
    <row r="180" spans="1:13" x14ac:dyDescent="0.25">
      <c r="A180" s="94">
        <v>58</v>
      </c>
      <c r="B180" s="95" t="s">
        <v>84</v>
      </c>
      <c r="C180" s="95" t="s">
        <v>88</v>
      </c>
      <c r="D180" s="95" t="s">
        <v>241</v>
      </c>
      <c r="E180" s="95" t="s">
        <v>79</v>
      </c>
      <c r="F180" s="94" t="s">
        <v>80</v>
      </c>
      <c r="G180" s="95" t="s">
        <v>241</v>
      </c>
      <c r="H180" s="95" t="s">
        <v>79</v>
      </c>
      <c r="I180" s="94" t="s">
        <v>80</v>
      </c>
      <c r="J180" s="104">
        <v>0</v>
      </c>
      <c r="K180" s="104">
        <v>0</v>
      </c>
      <c r="L180" s="104">
        <v>0</v>
      </c>
      <c r="M180" s="94" t="s">
        <v>243</v>
      </c>
    </row>
    <row r="181" spans="1:13" x14ac:dyDescent="0.25">
      <c r="A181" s="105"/>
      <c r="B181" s="92"/>
      <c r="C181" s="92" t="s">
        <v>337</v>
      </c>
      <c r="D181" s="92"/>
      <c r="E181" s="92"/>
      <c r="F181" s="105"/>
      <c r="G181" s="92"/>
      <c r="H181" s="92"/>
      <c r="I181" s="105"/>
      <c r="J181" s="356"/>
      <c r="K181" s="356"/>
      <c r="L181" s="356"/>
      <c r="M181" s="105"/>
    </row>
    <row r="182" spans="1:13" x14ac:dyDescent="0.25">
      <c r="A182" s="84"/>
      <c r="B182" s="234" t="s">
        <v>220</v>
      </c>
      <c r="C182" s="91"/>
      <c r="D182" s="91"/>
      <c r="E182" s="91"/>
      <c r="F182" s="84"/>
      <c r="G182" s="91"/>
      <c r="H182" s="91"/>
      <c r="I182" s="84"/>
      <c r="J182" s="204"/>
      <c r="K182" s="204"/>
      <c r="L182" s="204"/>
      <c r="M182" s="84"/>
    </row>
    <row r="183" spans="1:13" x14ac:dyDescent="0.25">
      <c r="A183" s="84">
        <v>59</v>
      </c>
      <c r="B183" s="91" t="s">
        <v>85</v>
      </c>
      <c r="C183" s="91" t="s">
        <v>335</v>
      </c>
      <c r="D183" s="84" t="s">
        <v>80</v>
      </c>
      <c r="E183" s="91" t="s">
        <v>17</v>
      </c>
      <c r="F183" s="84" t="s">
        <v>80</v>
      </c>
      <c r="G183" s="84" t="s">
        <v>80</v>
      </c>
      <c r="H183" s="91" t="s">
        <v>17</v>
      </c>
      <c r="I183" s="84" t="s">
        <v>80</v>
      </c>
      <c r="J183" s="289">
        <f>(23540-15000)*12</f>
        <v>102480</v>
      </c>
      <c r="K183" s="204">
        <v>0</v>
      </c>
      <c r="L183" s="204">
        <v>0</v>
      </c>
      <c r="M183" s="102">
        <f>J183</f>
        <v>102480</v>
      </c>
    </row>
    <row r="184" spans="1:13" x14ac:dyDescent="0.25">
      <c r="A184" s="84"/>
      <c r="B184" s="91"/>
      <c r="C184" s="91" t="s">
        <v>337</v>
      </c>
      <c r="D184" s="84"/>
      <c r="E184" s="91"/>
      <c r="F184" s="84"/>
      <c r="G184" s="84"/>
      <c r="H184" s="91"/>
      <c r="I184" s="84"/>
      <c r="J184" s="168" t="s">
        <v>442</v>
      </c>
      <c r="K184" s="204"/>
      <c r="L184" s="204"/>
      <c r="M184" s="91"/>
    </row>
    <row r="185" spans="1:13" x14ac:dyDescent="0.25">
      <c r="A185" s="94"/>
      <c r="B185" s="292" t="s">
        <v>21</v>
      </c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</row>
    <row r="186" spans="1:13" x14ac:dyDescent="0.25">
      <c r="A186" s="84">
        <v>60</v>
      </c>
      <c r="B186" s="427" t="s">
        <v>446</v>
      </c>
      <c r="C186" s="268" t="s">
        <v>310</v>
      </c>
      <c r="D186" s="275" t="s">
        <v>80</v>
      </c>
      <c r="E186" s="268" t="s">
        <v>211</v>
      </c>
      <c r="F186" s="275" t="s">
        <v>80</v>
      </c>
      <c r="G186" s="275" t="s">
        <v>80</v>
      </c>
      <c r="H186" s="268" t="s">
        <v>211</v>
      </c>
      <c r="I186" s="268"/>
      <c r="J186" s="291">
        <f t="shared" ref="J186" si="1">9000*12</f>
        <v>108000</v>
      </c>
      <c r="K186" s="204">
        <v>0</v>
      </c>
      <c r="L186" s="204">
        <v>0</v>
      </c>
      <c r="M186" s="428">
        <f>J186</f>
        <v>108000</v>
      </c>
    </row>
    <row r="187" spans="1:13" x14ac:dyDescent="0.25">
      <c r="A187" s="105"/>
      <c r="B187" s="359"/>
      <c r="C187" s="280" t="s">
        <v>447</v>
      </c>
      <c r="D187" s="257"/>
      <c r="E187" s="280"/>
      <c r="F187" s="280"/>
      <c r="G187" s="280"/>
      <c r="H187" s="280"/>
      <c r="I187" s="280"/>
      <c r="J187" s="257" t="s">
        <v>222</v>
      </c>
      <c r="K187" s="280"/>
      <c r="L187" s="280"/>
      <c r="M187" s="280"/>
    </row>
    <row r="188" spans="1:13" x14ac:dyDescent="0.25">
      <c r="A188" s="84"/>
      <c r="B188" s="342" t="s">
        <v>343</v>
      </c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</row>
    <row r="189" spans="1:13" x14ac:dyDescent="0.25">
      <c r="A189" s="84">
        <v>61</v>
      </c>
      <c r="B189" s="91" t="s">
        <v>82</v>
      </c>
      <c r="C189" s="91" t="s">
        <v>88</v>
      </c>
      <c r="D189" s="91" t="s">
        <v>238</v>
      </c>
      <c r="E189" s="91" t="s">
        <v>79</v>
      </c>
      <c r="F189" s="84" t="s">
        <v>80</v>
      </c>
      <c r="G189" s="91" t="s">
        <v>238</v>
      </c>
      <c r="H189" s="91" t="s">
        <v>79</v>
      </c>
      <c r="I189" s="84" t="s">
        <v>80</v>
      </c>
      <c r="J189" s="204">
        <v>0</v>
      </c>
      <c r="K189" s="204">
        <v>0</v>
      </c>
      <c r="L189" s="204">
        <v>0</v>
      </c>
      <c r="M189" s="84" t="s">
        <v>243</v>
      </c>
    </row>
    <row r="190" spans="1:13" x14ac:dyDescent="0.25">
      <c r="A190" s="84"/>
      <c r="B190" s="91"/>
      <c r="C190" s="91" t="s">
        <v>337</v>
      </c>
      <c r="D190" s="91"/>
      <c r="E190" s="91"/>
      <c r="F190" s="84"/>
      <c r="G190" s="91"/>
      <c r="H190" s="91"/>
      <c r="I190" s="84"/>
      <c r="J190" s="204"/>
      <c r="K190" s="204"/>
      <c r="L190" s="204"/>
      <c r="M190" s="84"/>
    </row>
    <row r="191" spans="1:13" x14ac:dyDescent="0.25">
      <c r="A191" s="94">
        <v>62</v>
      </c>
      <c r="B191" s="95" t="s">
        <v>369</v>
      </c>
      <c r="C191" s="95" t="s">
        <v>88</v>
      </c>
      <c r="D191" s="95" t="s">
        <v>240</v>
      </c>
      <c r="E191" s="95" t="s">
        <v>79</v>
      </c>
      <c r="F191" s="94" t="s">
        <v>80</v>
      </c>
      <c r="G191" s="95" t="s">
        <v>240</v>
      </c>
      <c r="H191" s="95" t="s">
        <v>79</v>
      </c>
      <c r="I191" s="94" t="s">
        <v>80</v>
      </c>
      <c r="J191" s="104">
        <v>0</v>
      </c>
      <c r="K191" s="104">
        <v>0</v>
      </c>
      <c r="L191" s="104">
        <v>0</v>
      </c>
      <c r="M191" s="94" t="s">
        <v>243</v>
      </c>
    </row>
    <row r="192" spans="1:13" x14ac:dyDescent="0.25">
      <c r="A192" s="105"/>
      <c r="B192" s="92"/>
      <c r="C192" s="92" t="s">
        <v>337</v>
      </c>
      <c r="D192" s="92"/>
      <c r="E192" s="92"/>
      <c r="F192" s="105"/>
      <c r="G192" s="92"/>
      <c r="H192" s="92"/>
      <c r="I192" s="105"/>
      <c r="J192" s="356"/>
      <c r="K192" s="356"/>
      <c r="L192" s="356"/>
      <c r="M192" s="105"/>
    </row>
    <row r="193" spans="1:13" x14ac:dyDescent="0.25">
      <c r="A193" s="94"/>
      <c r="B193" s="292" t="s">
        <v>21</v>
      </c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</row>
    <row r="194" spans="1:13" x14ac:dyDescent="0.25">
      <c r="A194" s="84">
        <v>63</v>
      </c>
      <c r="B194" s="427" t="s">
        <v>443</v>
      </c>
      <c r="C194" s="268" t="s">
        <v>444</v>
      </c>
      <c r="D194" s="275" t="s">
        <v>80</v>
      </c>
      <c r="E194" s="268" t="s">
        <v>211</v>
      </c>
      <c r="F194" s="275" t="s">
        <v>80</v>
      </c>
      <c r="G194" s="275" t="s">
        <v>80</v>
      </c>
      <c r="H194" s="268" t="s">
        <v>211</v>
      </c>
      <c r="I194" s="268"/>
      <c r="J194" s="291">
        <f t="shared" ref="J194" si="2">9000*12</f>
        <v>108000</v>
      </c>
      <c r="K194" s="204">
        <v>0</v>
      </c>
      <c r="L194" s="204">
        <v>0</v>
      </c>
      <c r="M194" s="428">
        <f>J194</f>
        <v>108000</v>
      </c>
    </row>
    <row r="195" spans="1:13" x14ac:dyDescent="0.25">
      <c r="A195" s="87"/>
      <c r="B195" s="362"/>
      <c r="C195" s="86" t="s">
        <v>445</v>
      </c>
      <c r="D195" s="284"/>
      <c r="E195" s="269"/>
      <c r="F195" s="284"/>
      <c r="G195" s="284"/>
      <c r="H195" s="269"/>
      <c r="I195" s="269"/>
      <c r="J195" s="284" t="s">
        <v>222</v>
      </c>
      <c r="K195" s="284"/>
      <c r="L195" s="284"/>
      <c r="M195" s="269"/>
    </row>
    <row r="199" spans="1:13" x14ac:dyDescent="0.25">
      <c r="A199" s="474"/>
      <c r="B199" s="110"/>
      <c r="C199" s="110"/>
      <c r="D199" s="110"/>
      <c r="E199" s="110"/>
      <c r="F199" s="474"/>
      <c r="G199" s="110"/>
      <c r="H199" s="110"/>
      <c r="I199" s="474"/>
      <c r="J199" s="210"/>
      <c r="K199" s="210"/>
      <c r="L199" s="210"/>
      <c r="M199" s="474"/>
    </row>
    <row r="200" spans="1:13" x14ac:dyDescent="0.25">
      <c r="A200" s="478"/>
      <c r="B200" s="479"/>
      <c r="C200" s="479"/>
      <c r="D200" s="479"/>
      <c r="E200" s="479"/>
      <c r="F200" s="478"/>
      <c r="G200" s="479"/>
      <c r="H200" s="479"/>
      <c r="I200" s="478"/>
      <c r="J200" s="480"/>
      <c r="K200" s="480"/>
      <c r="L200" s="480"/>
      <c r="M200" s="478"/>
    </row>
    <row r="201" spans="1:13" x14ac:dyDescent="0.25">
      <c r="A201" s="515" t="s">
        <v>1</v>
      </c>
      <c r="B201" s="515" t="s">
        <v>32</v>
      </c>
      <c r="C201" s="82" t="s">
        <v>33</v>
      </c>
      <c r="D201" s="518" t="s">
        <v>34</v>
      </c>
      <c r="E201" s="519"/>
      <c r="F201" s="519"/>
      <c r="G201" s="518" t="s">
        <v>35</v>
      </c>
      <c r="H201" s="519"/>
      <c r="I201" s="520"/>
      <c r="J201" s="521" t="s">
        <v>36</v>
      </c>
      <c r="K201" s="522"/>
      <c r="L201" s="523"/>
      <c r="M201" s="83"/>
    </row>
    <row r="202" spans="1:13" x14ac:dyDescent="0.25">
      <c r="A202" s="516"/>
      <c r="B202" s="516"/>
      <c r="C202" s="84" t="s">
        <v>37</v>
      </c>
      <c r="D202" s="515" t="s">
        <v>38</v>
      </c>
      <c r="E202" s="515" t="s">
        <v>39</v>
      </c>
      <c r="F202" s="515" t="s">
        <v>40</v>
      </c>
      <c r="G202" s="515" t="s">
        <v>38</v>
      </c>
      <c r="H202" s="515" t="s">
        <v>39</v>
      </c>
      <c r="I202" s="515" t="s">
        <v>40</v>
      </c>
      <c r="J202" s="515" t="s">
        <v>36</v>
      </c>
      <c r="K202" s="515" t="s">
        <v>41</v>
      </c>
      <c r="L202" s="82" t="s">
        <v>232</v>
      </c>
      <c r="M202" s="472" t="s">
        <v>42</v>
      </c>
    </row>
    <row r="203" spans="1:13" x14ac:dyDescent="0.25">
      <c r="A203" s="517"/>
      <c r="B203" s="517"/>
      <c r="C203" s="86"/>
      <c r="D203" s="517"/>
      <c r="E203" s="517"/>
      <c r="F203" s="517"/>
      <c r="G203" s="517"/>
      <c r="H203" s="517"/>
      <c r="I203" s="517"/>
      <c r="J203" s="517"/>
      <c r="K203" s="517"/>
      <c r="L203" s="87" t="s">
        <v>233</v>
      </c>
      <c r="M203" s="88"/>
    </row>
    <row r="204" spans="1:13" x14ac:dyDescent="0.25">
      <c r="A204" s="84"/>
      <c r="B204" s="342" t="s">
        <v>344</v>
      </c>
      <c r="C204" s="268"/>
      <c r="D204" s="268"/>
      <c r="E204" s="268"/>
      <c r="F204" s="268"/>
      <c r="G204" s="268"/>
      <c r="H204" s="268"/>
      <c r="I204" s="268"/>
      <c r="J204" s="268"/>
      <c r="K204" s="268"/>
      <c r="L204" s="268"/>
      <c r="M204" s="268"/>
    </row>
    <row r="205" spans="1:13" x14ac:dyDescent="0.25">
      <c r="A205" s="84">
        <v>64</v>
      </c>
      <c r="B205" s="91" t="s">
        <v>83</v>
      </c>
      <c r="C205" s="91" t="s">
        <v>88</v>
      </c>
      <c r="D205" s="91" t="s">
        <v>239</v>
      </c>
      <c r="E205" s="91" t="s">
        <v>79</v>
      </c>
      <c r="F205" s="84" t="s">
        <v>80</v>
      </c>
      <c r="G205" s="91" t="s">
        <v>239</v>
      </c>
      <c r="H205" s="91" t="s">
        <v>79</v>
      </c>
      <c r="I205" s="84" t="s">
        <v>80</v>
      </c>
      <c r="J205" s="204">
        <v>0</v>
      </c>
      <c r="K205" s="204">
        <v>0</v>
      </c>
      <c r="L205" s="204">
        <v>0</v>
      </c>
      <c r="M205" s="84" t="s">
        <v>243</v>
      </c>
    </row>
    <row r="206" spans="1:13" x14ac:dyDescent="0.25">
      <c r="A206" s="87"/>
      <c r="B206" s="86"/>
      <c r="C206" s="86" t="s">
        <v>337</v>
      </c>
      <c r="D206" s="86"/>
      <c r="E206" s="86"/>
      <c r="F206" s="87"/>
      <c r="G206" s="86"/>
      <c r="H206" s="86"/>
      <c r="I206" s="87"/>
      <c r="J206" s="290"/>
      <c r="K206" s="290"/>
      <c r="L206" s="290"/>
      <c r="M206" s="87"/>
    </row>
    <row r="207" spans="1:13" x14ac:dyDescent="0.25">
      <c r="A207" s="360"/>
      <c r="B207" s="277" t="s">
        <v>219</v>
      </c>
      <c r="C207" s="361"/>
      <c r="D207" s="361"/>
      <c r="E207" s="361"/>
      <c r="F207" s="361"/>
      <c r="G207" s="361"/>
      <c r="H207" s="361"/>
      <c r="I207" s="361"/>
      <c r="J207" s="361"/>
      <c r="K207" s="361"/>
      <c r="L207" s="361"/>
      <c r="M207" s="361"/>
    </row>
    <row r="208" spans="1:13" x14ac:dyDescent="0.25">
      <c r="A208" s="84">
        <v>65</v>
      </c>
      <c r="B208" s="91" t="s">
        <v>86</v>
      </c>
      <c r="C208" s="91" t="s">
        <v>88</v>
      </c>
      <c r="D208" s="84" t="s">
        <v>80</v>
      </c>
      <c r="E208" s="91" t="s">
        <v>191</v>
      </c>
      <c r="F208" s="84" t="s">
        <v>80</v>
      </c>
      <c r="G208" s="84" t="s">
        <v>80</v>
      </c>
      <c r="H208" s="91" t="s">
        <v>191</v>
      </c>
      <c r="I208" s="84" t="s">
        <v>80</v>
      </c>
      <c r="J208" s="289">
        <f>(14680-9400)*12</f>
        <v>63360</v>
      </c>
      <c r="K208" s="204">
        <v>0</v>
      </c>
      <c r="L208" s="204">
        <v>0</v>
      </c>
      <c r="M208" s="102">
        <f>J208</f>
        <v>63360</v>
      </c>
    </row>
    <row r="209" spans="1:13" x14ac:dyDescent="0.25">
      <c r="A209" s="84"/>
      <c r="B209" s="91"/>
      <c r="C209" s="91" t="s">
        <v>337</v>
      </c>
      <c r="D209" s="84"/>
      <c r="E209" s="91"/>
      <c r="F209" s="84"/>
      <c r="G209" s="84"/>
      <c r="H209" s="91"/>
      <c r="I209" s="84"/>
      <c r="J209" s="168" t="s">
        <v>451</v>
      </c>
      <c r="K209" s="204"/>
      <c r="L209" s="204"/>
      <c r="M209" s="91"/>
    </row>
    <row r="210" spans="1:13" x14ac:dyDescent="0.25">
      <c r="A210" s="94"/>
      <c r="B210" s="292" t="s">
        <v>21</v>
      </c>
      <c r="C210" s="95"/>
      <c r="D210" s="94"/>
      <c r="E210" s="95"/>
      <c r="F210" s="94"/>
      <c r="G210" s="94"/>
      <c r="H210" s="95"/>
      <c r="I210" s="94"/>
      <c r="J210" s="189"/>
      <c r="K210" s="104"/>
      <c r="L210" s="104"/>
      <c r="M210" s="95"/>
    </row>
    <row r="211" spans="1:13" x14ac:dyDescent="0.25">
      <c r="A211" s="275">
        <v>66</v>
      </c>
      <c r="B211" s="427" t="s">
        <v>448</v>
      </c>
      <c r="C211" s="268" t="s">
        <v>449</v>
      </c>
      <c r="D211" s="275" t="s">
        <v>80</v>
      </c>
      <c r="E211" s="268" t="s">
        <v>211</v>
      </c>
      <c r="F211" s="275" t="s">
        <v>80</v>
      </c>
      <c r="G211" s="275" t="s">
        <v>80</v>
      </c>
      <c r="H211" s="268" t="s">
        <v>211</v>
      </c>
      <c r="I211" s="268"/>
      <c r="J211" s="291">
        <f t="shared" ref="J211" si="3">9000*12</f>
        <v>108000</v>
      </c>
      <c r="K211" s="204">
        <v>0</v>
      </c>
      <c r="L211" s="204">
        <v>0</v>
      </c>
      <c r="M211" s="428">
        <f>J211</f>
        <v>108000</v>
      </c>
    </row>
    <row r="212" spans="1:13" ht="15.75" thickBot="1" x14ac:dyDescent="0.3">
      <c r="A212" s="350"/>
      <c r="B212" s="451"/>
      <c r="C212" s="99" t="s">
        <v>450</v>
      </c>
      <c r="D212" s="350"/>
      <c r="E212" s="351"/>
      <c r="F212" s="350"/>
      <c r="G212" s="350"/>
      <c r="H212" s="351"/>
      <c r="I212" s="351"/>
      <c r="J212" s="350" t="s">
        <v>222</v>
      </c>
      <c r="K212" s="350"/>
      <c r="L212" s="350"/>
      <c r="M212" s="351"/>
    </row>
    <row r="213" spans="1:13" x14ac:dyDescent="0.25">
      <c r="A213" s="452"/>
      <c r="B213" s="352" t="s">
        <v>455</v>
      </c>
      <c r="C213" s="453"/>
      <c r="D213" s="453"/>
      <c r="E213" s="453"/>
      <c r="F213" s="453"/>
      <c r="G213" s="453"/>
      <c r="H213" s="453"/>
      <c r="I213" s="453"/>
      <c r="J213" s="453"/>
      <c r="K213" s="453"/>
      <c r="L213" s="453"/>
      <c r="M213" s="453"/>
    </row>
    <row r="214" spans="1:13" x14ac:dyDescent="0.25">
      <c r="A214" s="275"/>
      <c r="B214" s="101" t="s">
        <v>50</v>
      </c>
      <c r="C214" s="268"/>
      <c r="D214" s="268"/>
      <c r="E214" s="268"/>
      <c r="F214" s="268"/>
      <c r="G214" s="268"/>
      <c r="H214" s="268"/>
      <c r="I214" s="268"/>
      <c r="J214" s="291"/>
      <c r="K214" s="454"/>
      <c r="L214" s="268"/>
      <c r="M214" s="268"/>
    </row>
    <row r="215" spans="1:13" x14ac:dyDescent="0.25">
      <c r="A215" s="275">
        <v>67</v>
      </c>
      <c r="B215" s="293" t="s">
        <v>80</v>
      </c>
      <c r="C215" s="275" t="s">
        <v>80</v>
      </c>
      <c r="D215" s="84" t="s">
        <v>80</v>
      </c>
      <c r="E215" s="275" t="s">
        <v>80</v>
      </c>
      <c r="F215" s="275" t="s">
        <v>80</v>
      </c>
      <c r="G215" s="91" t="s">
        <v>457</v>
      </c>
      <c r="H215" s="268" t="s">
        <v>456</v>
      </c>
      <c r="I215" s="268" t="s">
        <v>392</v>
      </c>
      <c r="J215" s="129">
        <f>((49480+9740)/2)*12</f>
        <v>355320</v>
      </c>
      <c r="K215" s="93">
        <v>0</v>
      </c>
      <c r="L215" s="93">
        <v>0</v>
      </c>
      <c r="M215" s="102" t="s">
        <v>458</v>
      </c>
    </row>
    <row r="216" spans="1:13" ht="15.75" thickBot="1" x14ac:dyDescent="0.3">
      <c r="A216" s="350"/>
      <c r="B216" s="351"/>
      <c r="C216" s="351"/>
      <c r="D216" s="351"/>
      <c r="E216" s="351"/>
      <c r="F216" s="351"/>
      <c r="G216" s="351"/>
      <c r="H216" s="351"/>
      <c r="I216" s="351"/>
      <c r="J216" s="455" t="s">
        <v>424</v>
      </c>
      <c r="K216" s="100"/>
      <c r="L216" s="100"/>
      <c r="M216" s="456"/>
    </row>
  </sheetData>
  <mergeCells count="94">
    <mergeCell ref="A34:M34"/>
    <mergeCell ref="D4:D5"/>
    <mergeCell ref="E4:E5"/>
    <mergeCell ref="F4:F5"/>
    <mergeCell ref="G4:G5"/>
    <mergeCell ref="H4:H5"/>
    <mergeCell ref="K37:K38"/>
    <mergeCell ref="I4:I5"/>
    <mergeCell ref="J4:J5"/>
    <mergeCell ref="K4:K5"/>
    <mergeCell ref="A36:A38"/>
    <mergeCell ref="B36:B38"/>
    <mergeCell ref="D36:F36"/>
    <mergeCell ref="G36:I36"/>
    <mergeCell ref="J36:L36"/>
    <mergeCell ref="D37:D38"/>
    <mergeCell ref="E37:E38"/>
    <mergeCell ref="A3:A5"/>
    <mergeCell ref="B3:B5"/>
    <mergeCell ref="D3:F3"/>
    <mergeCell ref="G3:I3"/>
    <mergeCell ref="J3:L3"/>
    <mergeCell ref="F37:F38"/>
    <mergeCell ref="G37:G38"/>
    <mergeCell ref="H37:H38"/>
    <mergeCell ref="I37:I38"/>
    <mergeCell ref="J37:J38"/>
    <mergeCell ref="A67:A69"/>
    <mergeCell ref="B67:B69"/>
    <mergeCell ref="D67:F67"/>
    <mergeCell ref="G67:I67"/>
    <mergeCell ref="J67:L67"/>
    <mergeCell ref="D68:D69"/>
    <mergeCell ref="E68:E69"/>
    <mergeCell ref="F68:F69"/>
    <mergeCell ref="G68:G69"/>
    <mergeCell ref="H68:H69"/>
    <mergeCell ref="I68:I69"/>
    <mergeCell ref="J68:J69"/>
    <mergeCell ref="K68:K69"/>
    <mergeCell ref="A100:A102"/>
    <mergeCell ref="B100:B102"/>
    <mergeCell ref="D100:F100"/>
    <mergeCell ref="G100:I100"/>
    <mergeCell ref="J100:L100"/>
    <mergeCell ref="D101:D102"/>
    <mergeCell ref="E101:E102"/>
    <mergeCell ref="I101:I102"/>
    <mergeCell ref="J101:J102"/>
    <mergeCell ref="K101:K102"/>
    <mergeCell ref="E136:E137"/>
    <mergeCell ref="F136:F137"/>
    <mergeCell ref="G136:G137"/>
    <mergeCell ref="H136:H137"/>
    <mergeCell ref="F101:F102"/>
    <mergeCell ref="G101:G102"/>
    <mergeCell ref="H101:H102"/>
    <mergeCell ref="I136:I137"/>
    <mergeCell ref="J136:J137"/>
    <mergeCell ref="K136:K137"/>
    <mergeCell ref="A168:A170"/>
    <mergeCell ref="B168:B170"/>
    <mergeCell ref="D168:F168"/>
    <mergeCell ref="G168:I168"/>
    <mergeCell ref="J168:L168"/>
    <mergeCell ref="D169:D170"/>
    <mergeCell ref="E169:E170"/>
    <mergeCell ref="A135:A137"/>
    <mergeCell ref="B135:B137"/>
    <mergeCell ref="D135:F135"/>
    <mergeCell ref="G135:I135"/>
    <mergeCell ref="J135:L135"/>
    <mergeCell ref="D136:D137"/>
    <mergeCell ref="G169:G170"/>
    <mergeCell ref="H169:H170"/>
    <mergeCell ref="I169:I170"/>
    <mergeCell ref="J169:J170"/>
    <mergeCell ref="K169:K170"/>
    <mergeCell ref="I202:I203"/>
    <mergeCell ref="J202:J203"/>
    <mergeCell ref="K202:K203"/>
    <mergeCell ref="A1:M1"/>
    <mergeCell ref="A2:M2"/>
    <mergeCell ref="A201:A203"/>
    <mergeCell ref="B201:B203"/>
    <mergeCell ref="D201:F201"/>
    <mergeCell ref="G201:I201"/>
    <mergeCell ref="J201:L201"/>
    <mergeCell ref="D202:D203"/>
    <mergeCell ref="E202:E203"/>
    <mergeCell ref="F202:F203"/>
    <mergeCell ref="G202:G203"/>
    <mergeCell ref="H202:H203"/>
    <mergeCell ref="F169:F170"/>
  </mergeCells>
  <pageMargins left="0.39370078740157483" right="0.11811023622047245" top="0.7480314960629921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E28" sqref="E28"/>
    </sheetView>
  </sheetViews>
  <sheetFormatPr defaultRowHeight="14.25" x14ac:dyDescent="0.2"/>
  <cols>
    <col min="1" max="1" width="6.125" customWidth="1"/>
    <col min="2" max="2" width="8.875" customWidth="1"/>
    <col min="4" max="4" width="7" customWidth="1"/>
    <col min="5" max="5" width="7.875" customWidth="1"/>
    <col min="8" max="8" width="7.75" customWidth="1"/>
    <col min="9" max="10" width="10.375" bestFit="1" customWidth="1"/>
    <col min="11" max="11" width="11.125" customWidth="1"/>
    <col min="12" max="12" width="7.875" customWidth="1"/>
    <col min="13" max="13" width="8.625" customWidth="1"/>
  </cols>
  <sheetData>
    <row r="1" spans="1:13" x14ac:dyDescent="0.2">
      <c r="A1" s="341"/>
      <c r="B1" s="341"/>
      <c r="C1" s="341" t="s">
        <v>277</v>
      </c>
      <c r="D1" s="341" t="s">
        <v>278</v>
      </c>
      <c r="E1" s="341" t="s">
        <v>279</v>
      </c>
      <c r="F1" s="341" t="s">
        <v>283</v>
      </c>
      <c r="G1" s="341"/>
      <c r="H1" s="341" t="s">
        <v>281</v>
      </c>
      <c r="I1" s="341" t="s">
        <v>282</v>
      </c>
      <c r="J1" s="341" t="s">
        <v>280</v>
      </c>
      <c r="K1" s="341"/>
      <c r="L1" s="341" t="s">
        <v>284</v>
      </c>
      <c r="M1" s="341" t="s">
        <v>285</v>
      </c>
    </row>
    <row r="2" spans="1:13" ht="18.75" x14ac:dyDescent="0.3">
      <c r="A2" s="312" t="s">
        <v>258</v>
      </c>
      <c r="B2">
        <f>10080*4%</f>
        <v>403.2</v>
      </c>
      <c r="C2">
        <v>10080</v>
      </c>
      <c r="D2" s="315">
        <v>410</v>
      </c>
      <c r="E2" s="313">
        <f>D2*12</f>
        <v>4920</v>
      </c>
      <c r="F2">
        <f>C2+D2</f>
        <v>10490</v>
      </c>
      <c r="G2">
        <f>F2*4%</f>
        <v>419.6</v>
      </c>
      <c r="H2" s="315">
        <v>420</v>
      </c>
      <c r="I2" s="313">
        <f>H2*12</f>
        <v>5040</v>
      </c>
      <c r="J2" s="313">
        <f>C2+D2+H2</f>
        <v>10910</v>
      </c>
      <c r="K2" s="314">
        <f>J2*4%</f>
        <v>436.40000000000003</v>
      </c>
      <c r="L2" s="315">
        <v>440</v>
      </c>
      <c r="M2" s="313">
        <f>L2*12</f>
        <v>5280</v>
      </c>
    </row>
    <row r="3" spans="1:13" ht="18.75" x14ac:dyDescent="0.3">
      <c r="A3" s="312" t="s">
        <v>259</v>
      </c>
      <c r="B3" s="421">
        <f>15250*4%</f>
        <v>610</v>
      </c>
      <c r="C3">
        <v>15250</v>
      </c>
      <c r="D3" s="315">
        <v>610</v>
      </c>
      <c r="E3" s="313">
        <f t="shared" ref="E3:E20" si="0">D3*12</f>
        <v>7320</v>
      </c>
      <c r="F3">
        <f t="shared" ref="F3:F17" si="1">C3+D3</f>
        <v>15860</v>
      </c>
      <c r="G3">
        <f>F3*4%</f>
        <v>634.4</v>
      </c>
      <c r="H3" s="315">
        <v>640</v>
      </c>
      <c r="I3" s="313">
        <f t="shared" ref="I3:I20" si="2">H3*12</f>
        <v>7680</v>
      </c>
      <c r="J3" s="313">
        <f t="shared" ref="J3:J20" si="3">C3+D3+H3</f>
        <v>16500</v>
      </c>
      <c r="K3" s="314">
        <f t="shared" ref="K3:K20" si="4">J3*4%</f>
        <v>660</v>
      </c>
      <c r="L3" s="315">
        <v>660</v>
      </c>
      <c r="M3" s="313">
        <f t="shared" ref="M3:M20" si="5">L3*12</f>
        <v>7920</v>
      </c>
    </row>
    <row r="4" spans="1:13" ht="18.75" x14ac:dyDescent="0.3">
      <c r="A4" s="312" t="s">
        <v>260</v>
      </c>
      <c r="B4">
        <f>20370*4%</f>
        <v>814.80000000000007</v>
      </c>
      <c r="C4">
        <v>20370</v>
      </c>
      <c r="D4" s="315">
        <v>820</v>
      </c>
      <c r="E4" s="313">
        <f t="shared" si="0"/>
        <v>9840</v>
      </c>
      <c r="F4">
        <f t="shared" si="1"/>
        <v>21190</v>
      </c>
      <c r="G4">
        <f t="shared" ref="G4:G20" si="6">F4*4%</f>
        <v>847.6</v>
      </c>
      <c r="H4" s="315">
        <v>850</v>
      </c>
      <c r="I4" s="313">
        <f t="shared" si="2"/>
        <v>10200</v>
      </c>
      <c r="J4" s="313">
        <f t="shared" si="3"/>
        <v>22040</v>
      </c>
      <c r="K4" s="314">
        <f t="shared" si="4"/>
        <v>881.6</v>
      </c>
      <c r="L4" s="315">
        <v>890</v>
      </c>
      <c r="M4" s="313">
        <f t="shared" si="5"/>
        <v>10680</v>
      </c>
    </row>
    <row r="5" spans="1:13" ht="18.75" x14ac:dyDescent="0.3">
      <c r="A5" s="312" t="s">
        <v>261</v>
      </c>
      <c r="B5">
        <f>10030*4%</f>
        <v>401.2</v>
      </c>
      <c r="C5">
        <v>10030</v>
      </c>
      <c r="D5" s="315">
        <v>410</v>
      </c>
      <c r="E5" s="313">
        <f t="shared" si="0"/>
        <v>4920</v>
      </c>
      <c r="F5">
        <f t="shared" si="1"/>
        <v>10440</v>
      </c>
      <c r="G5">
        <f t="shared" si="6"/>
        <v>417.6</v>
      </c>
      <c r="H5" s="315">
        <v>420</v>
      </c>
      <c r="I5" s="313">
        <f t="shared" si="2"/>
        <v>5040</v>
      </c>
      <c r="J5" s="313">
        <f t="shared" si="3"/>
        <v>10860</v>
      </c>
      <c r="K5" s="314">
        <f t="shared" si="4"/>
        <v>434.40000000000003</v>
      </c>
      <c r="L5" s="315">
        <v>440</v>
      </c>
      <c r="M5" s="313">
        <f t="shared" si="5"/>
        <v>5280</v>
      </c>
    </row>
    <row r="6" spans="1:13" ht="18.75" x14ac:dyDescent="0.3">
      <c r="A6" s="312" t="s">
        <v>262</v>
      </c>
      <c r="B6" s="421">
        <f>11350*4%</f>
        <v>454</v>
      </c>
      <c r="C6">
        <v>11350</v>
      </c>
      <c r="D6" s="315">
        <v>460</v>
      </c>
      <c r="E6" s="313">
        <f t="shared" si="0"/>
        <v>5520</v>
      </c>
      <c r="F6">
        <f t="shared" si="1"/>
        <v>11810</v>
      </c>
      <c r="G6">
        <f t="shared" si="6"/>
        <v>472.40000000000003</v>
      </c>
      <c r="H6" s="315">
        <v>480</v>
      </c>
      <c r="I6" s="313">
        <f t="shared" si="2"/>
        <v>5760</v>
      </c>
      <c r="J6" s="313">
        <f t="shared" si="3"/>
        <v>12290</v>
      </c>
      <c r="K6" s="314">
        <f t="shared" si="4"/>
        <v>491.6</v>
      </c>
      <c r="L6" s="315">
        <v>500</v>
      </c>
      <c r="M6" s="313">
        <f t="shared" si="5"/>
        <v>6000</v>
      </c>
    </row>
    <row r="7" spans="1:13" ht="18.75" x14ac:dyDescent="0.3">
      <c r="A7" s="312" t="s">
        <v>263</v>
      </c>
      <c r="B7" s="421">
        <f>12530*4%</f>
        <v>501.2</v>
      </c>
      <c r="C7">
        <v>12530</v>
      </c>
      <c r="D7" s="315">
        <v>510</v>
      </c>
      <c r="E7" s="313">
        <f t="shared" si="0"/>
        <v>6120</v>
      </c>
      <c r="F7">
        <f t="shared" si="1"/>
        <v>13040</v>
      </c>
      <c r="G7">
        <f t="shared" si="6"/>
        <v>521.6</v>
      </c>
      <c r="H7" s="315">
        <v>530</v>
      </c>
      <c r="I7" s="313">
        <f t="shared" si="2"/>
        <v>6360</v>
      </c>
      <c r="J7" s="313">
        <f t="shared" si="3"/>
        <v>13570</v>
      </c>
      <c r="K7" s="314">
        <f t="shared" si="4"/>
        <v>542.79999999999995</v>
      </c>
      <c r="L7" s="315">
        <v>550</v>
      </c>
      <c r="M7" s="313">
        <f t="shared" si="5"/>
        <v>6600</v>
      </c>
    </row>
    <row r="8" spans="1:13" ht="18.75" x14ac:dyDescent="0.3">
      <c r="A8" s="312" t="s">
        <v>264</v>
      </c>
      <c r="B8">
        <f>14890*4%</f>
        <v>595.6</v>
      </c>
      <c r="C8">
        <v>14890</v>
      </c>
      <c r="D8" s="315">
        <v>600</v>
      </c>
      <c r="E8" s="313">
        <f t="shared" si="0"/>
        <v>7200</v>
      </c>
      <c r="F8">
        <f t="shared" si="1"/>
        <v>15490</v>
      </c>
      <c r="G8">
        <f t="shared" si="6"/>
        <v>619.6</v>
      </c>
      <c r="H8" s="315">
        <v>620</v>
      </c>
      <c r="I8" s="313">
        <f t="shared" si="2"/>
        <v>7440</v>
      </c>
      <c r="J8" s="313">
        <f t="shared" si="3"/>
        <v>16110</v>
      </c>
      <c r="K8" s="314">
        <f t="shared" si="4"/>
        <v>644.4</v>
      </c>
      <c r="L8" s="315">
        <v>650</v>
      </c>
      <c r="M8" s="313">
        <f t="shared" si="5"/>
        <v>7800</v>
      </c>
    </row>
    <row r="9" spans="1:13" ht="18.75" x14ac:dyDescent="0.3">
      <c r="A9" s="312" t="s">
        <v>265</v>
      </c>
      <c r="B9">
        <f>11190*4%</f>
        <v>447.6</v>
      </c>
      <c r="C9">
        <v>11190</v>
      </c>
      <c r="D9" s="315">
        <v>450</v>
      </c>
      <c r="E9" s="313">
        <f t="shared" si="0"/>
        <v>5400</v>
      </c>
      <c r="F9">
        <f t="shared" si="1"/>
        <v>11640</v>
      </c>
      <c r="G9">
        <f t="shared" si="6"/>
        <v>465.6</v>
      </c>
      <c r="H9" s="315">
        <v>470</v>
      </c>
      <c r="I9" s="313">
        <f t="shared" si="2"/>
        <v>5640</v>
      </c>
      <c r="J9" s="313">
        <f t="shared" si="3"/>
        <v>12110</v>
      </c>
      <c r="K9" s="314">
        <f t="shared" si="4"/>
        <v>484.40000000000003</v>
      </c>
      <c r="L9" s="315">
        <v>490</v>
      </c>
      <c r="M9" s="313">
        <f t="shared" si="5"/>
        <v>5880</v>
      </c>
    </row>
    <row r="10" spans="1:13" ht="18.75" x14ac:dyDescent="0.3">
      <c r="A10" s="312" t="s">
        <v>266</v>
      </c>
      <c r="B10">
        <f>11290*4%</f>
        <v>451.6</v>
      </c>
      <c r="C10">
        <v>11290</v>
      </c>
      <c r="D10" s="315">
        <v>460</v>
      </c>
      <c r="E10" s="313">
        <f t="shared" si="0"/>
        <v>5520</v>
      </c>
      <c r="F10">
        <f t="shared" si="1"/>
        <v>11750</v>
      </c>
      <c r="G10">
        <f t="shared" si="6"/>
        <v>470</v>
      </c>
      <c r="H10" s="315">
        <v>470</v>
      </c>
      <c r="I10" s="313">
        <f t="shared" si="2"/>
        <v>5640</v>
      </c>
      <c r="J10" s="313">
        <f t="shared" si="3"/>
        <v>12220</v>
      </c>
      <c r="K10" s="314">
        <f t="shared" si="4"/>
        <v>488.8</v>
      </c>
      <c r="L10" s="315">
        <v>490</v>
      </c>
      <c r="M10" s="313">
        <f t="shared" si="5"/>
        <v>5880</v>
      </c>
    </row>
    <row r="11" spans="1:13" ht="18.75" x14ac:dyDescent="0.3">
      <c r="A11" s="312" t="s">
        <v>267</v>
      </c>
      <c r="B11">
        <f>C11*4%</f>
        <v>518.79999999999995</v>
      </c>
      <c r="C11">
        <v>12970</v>
      </c>
      <c r="D11" s="315">
        <v>520</v>
      </c>
      <c r="E11" s="313">
        <f t="shared" si="0"/>
        <v>6240</v>
      </c>
      <c r="F11">
        <f t="shared" si="1"/>
        <v>13490</v>
      </c>
      <c r="G11">
        <f t="shared" si="6"/>
        <v>539.6</v>
      </c>
      <c r="H11" s="315">
        <v>540</v>
      </c>
      <c r="I11" s="313">
        <f t="shared" si="2"/>
        <v>6480</v>
      </c>
      <c r="J11" s="313">
        <f t="shared" si="3"/>
        <v>14030</v>
      </c>
      <c r="K11" s="314">
        <f t="shared" si="4"/>
        <v>561.20000000000005</v>
      </c>
      <c r="L11" s="315">
        <v>570</v>
      </c>
      <c r="M11" s="313">
        <f t="shared" si="5"/>
        <v>6840</v>
      </c>
    </row>
    <row r="12" spans="1:13" ht="18.75" x14ac:dyDescent="0.3">
      <c r="A12" s="312" t="s">
        <v>268</v>
      </c>
      <c r="B12">
        <f t="shared" ref="B12:B20" si="7">C12*4%</f>
        <v>551.6</v>
      </c>
      <c r="C12">
        <v>13790</v>
      </c>
      <c r="D12" s="315">
        <v>560</v>
      </c>
      <c r="E12" s="313">
        <f t="shared" si="0"/>
        <v>6720</v>
      </c>
      <c r="F12">
        <f t="shared" si="1"/>
        <v>14350</v>
      </c>
      <c r="G12">
        <f t="shared" si="6"/>
        <v>574</v>
      </c>
      <c r="H12" s="315">
        <v>580</v>
      </c>
      <c r="I12" s="313">
        <f t="shared" si="2"/>
        <v>6960</v>
      </c>
      <c r="J12" s="313">
        <f t="shared" si="3"/>
        <v>14930</v>
      </c>
      <c r="K12" s="314">
        <f t="shared" si="4"/>
        <v>597.20000000000005</v>
      </c>
      <c r="L12" s="315">
        <v>600</v>
      </c>
      <c r="M12" s="313">
        <f t="shared" si="5"/>
        <v>7200</v>
      </c>
    </row>
    <row r="13" spans="1:13" ht="18.75" x14ac:dyDescent="0.3">
      <c r="A13" s="312" t="s">
        <v>269</v>
      </c>
      <c r="B13" s="421">
        <f t="shared" si="7"/>
        <v>512</v>
      </c>
      <c r="C13">
        <v>12800</v>
      </c>
      <c r="D13" s="315">
        <v>520</v>
      </c>
      <c r="E13" s="313">
        <f t="shared" si="0"/>
        <v>6240</v>
      </c>
      <c r="F13">
        <f t="shared" si="1"/>
        <v>13320</v>
      </c>
      <c r="G13">
        <f t="shared" si="6"/>
        <v>532.79999999999995</v>
      </c>
      <c r="H13" s="315">
        <v>540</v>
      </c>
      <c r="I13" s="313">
        <f t="shared" si="2"/>
        <v>6480</v>
      </c>
      <c r="J13" s="313">
        <f t="shared" si="3"/>
        <v>13860</v>
      </c>
      <c r="K13" s="314">
        <f t="shared" si="4"/>
        <v>554.4</v>
      </c>
      <c r="L13" s="315">
        <v>560</v>
      </c>
      <c r="M13" s="313">
        <f t="shared" si="5"/>
        <v>6720</v>
      </c>
    </row>
    <row r="14" spans="1:13" ht="18.75" x14ac:dyDescent="0.3">
      <c r="A14" s="312" t="s">
        <v>270</v>
      </c>
      <c r="B14">
        <f t="shared" si="7"/>
        <v>618.80000000000007</v>
      </c>
      <c r="C14">
        <v>15470</v>
      </c>
      <c r="D14" s="315">
        <v>620</v>
      </c>
      <c r="E14" s="313">
        <f t="shared" si="0"/>
        <v>7440</v>
      </c>
      <c r="F14">
        <f t="shared" si="1"/>
        <v>16090</v>
      </c>
      <c r="G14">
        <f t="shared" si="6"/>
        <v>643.6</v>
      </c>
      <c r="H14" s="315">
        <v>650</v>
      </c>
      <c r="I14" s="313">
        <f t="shared" si="2"/>
        <v>7800</v>
      </c>
      <c r="J14" s="313">
        <f t="shared" si="3"/>
        <v>16740</v>
      </c>
      <c r="K14" s="314">
        <f t="shared" si="4"/>
        <v>669.6</v>
      </c>
      <c r="L14" s="315">
        <v>670</v>
      </c>
      <c r="M14" s="313">
        <f t="shared" si="5"/>
        <v>8040</v>
      </c>
    </row>
    <row r="15" spans="1:13" ht="18.75" x14ac:dyDescent="0.3">
      <c r="A15" s="312" t="s">
        <v>271</v>
      </c>
      <c r="B15">
        <f t="shared" si="7"/>
        <v>495.2</v>
      </c>
      <c r="C15">
        <v>12380</v>
      </c>
      <c r="D15" s="315">
        <v>500</v>
      </c>
      <c r="E15" s="313">
        <f t="shared" si="0"/>
        <v>6000</v>
      </c>
      <c r="F15">
        <f t="shared" si="1"/>
        <v>12880</v>
      </c>
      <c r="G15">
        <f t="shared" si="6"/>
        <v>515.20000000000005</v>
      </c>
      <c r="H15" s="315">
        <v>520</v>
      </c>
      <c r="I15" s="313">
        <f t="shared" si="2"/>
        <v>6240</v>
      </c>
      <c r="J15" s="313">
        <f t="shared" si="3"/>
        <v>13400</v>
      </c>
      <c r="K15" s="314">
        <f t="shared" si="4"/>
        <v>536</v>
      </c>
      <c r="L15" s="315">
        <v>540</v>
      </c>
      <c r="M15" s="313">
        <f t="shared" si="5"/>
        <v>6480</v>
      </c>
    </row>
    <row r="16" spans="1:13" ht="18.75" x14ac:dyDescent="0.3">
      <c r="A16" s="312" t="s">
        <v>272</v>
      </c>
      <c r="B16">
        <f t="shared" si="7"/>
        <v>495.2</v>
      </c>
      <c r="C16">
        <v>12380</v>
      </c>
      <c r="D16" s="315">
        <v>500</v>
      </c>
      <c r="E16" s="313">
        <f t="shared" si="0"/>
        <v>6000</v>
      </c>
      <c r="F16">
        <f t="shared" si="1"/>
        <v>12880</v>
      </c>
      <c r="G16">
        <f t="shared" si="6"/>
        <v>515.20000000000005</v>
      </c>
      <c r="H16" s="315">
        <v>520</v>
      </c>
      <c r="I16" s="313">
        <f t="shared" si="2"/>
        <v>6240</v>
      </c>
      <c r="J16" s="313">
        <f t="shared" si="3"/>
        <v>13400</v>
      </c>
      <c r="K16" s="314">
        <f t="shared" si="4"/>
        <v>536</v>
      </c>
      <c r="L16" s="315">
        <v>540</v>
      </c>
      <c r="M16" s="313">
        <f t="shared" si="5"/>
        <v>6480</v>
      </c>
    </row>
    <row r="17" spans="1:13" ht="18.75" x14ac:dyDescent="0.3">
      <c r="A17" s="312" t="s">
        <v>273</v>
      </c>
      <c r="B17">
        <f t="shared" si="7"/>
        <v>467.2</v>
      </c>
      <c r="C17">
        <v>11680</v>
      </c>
      <c r="D17" s="315">
        <v>470</v>
      </c>
      <c r="E17" s="313">
        <f t="shared" si="0"/>
        <v>5640</v>
      </c>
      <c r="F17">
        <f t="shared" si="1"/>
        <v>12150</v>
      </c>
      <c r="G17">
        <f t="shared" si="6"/>
        <v>486</v>
      </c>
      <c r="H17" s="315">
        <v>490</v>
      </c>
      <c r="I17" s="313">
        <f t="shared" si="2"/>
        <v>5880</v>
      </c>
      <c r="J17" s="313">
        <f t="shared" si="3"/>
        <v>12640</v>
      </c>
      <c r="K17" s="314">
        <f t="shared" si="4"/>
        <v>505.6</v>
      </c>
      <c r="L17" s="315">
        <v>510</v>
      </c>
      <c r="M17" s="313">
        <f t="shared" si="5"/>
        <v>6120</v>
      </c>
    </row>
    <row r="18" spans="1:13" ht="18.75" x14ac:dyDescent="0.3">
      <c r="A18" s="312" t="s">
        <v>274</v>
      </c>
      <c r="B18">
        <f t="shared" si="7"/>
        <v>941.6</v>
      </c>
      <c r="C18">
        <v>23540</v>
      </c>
      <c r="D18" s="315">
        <v>950</v>
      </c>
      <c r="E18" s="313">
        <f>D18*12</f>
        <v>11400</v>
      </c>
      <c r="F18">
        <f>C18+D18</f>
        <v>24490</v>
      </c>
      <c r="G18">
        <f t="shared" si="6"/>
        <v>979.6</v>
      </c>
      <c r="H18" s="315">
        <v>980</v>
      </c>
      <c r="I18" s="313">
        <f>H18*12</f>
        <v>11760</v>
      </c>
      <c r="J18" s="313">
        <f>C18+D18+H18</f>
        <v>25470</v>
      </c>
      <c r="K18" s="314">
        <f t="shared" si="4"/>
        <v>1018.8000000000001</v>
      </c>
      <c r="L18" s="315">
        <v>1020</v>
      </c>
      <c r="M18" s="313">
        <f t="shared" si="5"/>
        <v>12240</v>
      </c>
    </row>
    <row r="19" spans="1:13" ht="18.75" x14ac:dyDescent="0.3">
      <c r="A19" s="312" t="s">
        <v>275</v>
      </c>
      <c r="B19">
        <f t="shared" si="7"/>
        <v>587.20000000000005</v>
      </c>
      <c r="C19">
        <v>14680</v>
      </c>
      <c r="D19" s="315">
        <v>590</v>
      </c>
      <c r="E19" s="313">
        <f>D19*12</f>
        <v>7080</v>
      </c>
      <c r="F19">
        <f>C19+D19</f>
        <v>15270</v>
      </c>
      <c r="G19">
        <f t="shared" si="6"/>
        <v>610.80000000000007</v>
      </c>
      <c r="H19" s="315">
        <v>620</v>
      </c>
      <c r="I19" s="313">
        <f t="shared" si="2"/>
        <v>7440</v>
      </c>
      <c r="J19" s="313">
        <f t="shared" si="3"/>
        <v>15890</v>
      </c>
      <c r="K19" s="314">
        <f t="shared" si="4"/>
        <v>635.6</v>
      </c>
      <c r="L19" s="315">
        <v>640</v>
      </c>
      <c r="M19" s="313">
        <f t="shared" si="5"/>
        <v>7680</v>
      </c>
    </row>
    <row r="20" spans="1:13" ht="18.75" x14ac:dyDescent="0.3">
      <c r="A20" s="312" t="s">
        <v>276</v>
      </c>
      <c r="B20">
        <f t="shared" si="7"/>
        <v>530.79999999999995</v>
      </c>
      <c r="C20">
        <v>13270</v>
      </c>
      <c r="D20" s="315">
        <v>540</v>
      </c>
      <c r="E20" s="313">
        <f t="shared" si="0"/>
        <v>6480</v>
      </c>
      <c r="F20">
        <f>C20+D20</f>
        <v>13810</v>
      </c>
      <c r="G20">
        <f t="shared" si="6"/>
        <v>552.4</v>
      </c>
      <c r="H20" s="315">
        <v>560</v>
      </c>
      <c r="I20" s="313">
        <f t="shared" si="2"/>
        <v>6720</v>
      </c>
      <c r="J20" s="313">
        <f t="shared" si="3"/>
        <v>14370</v>
      </c>
      <c r="K20" s="314">
        <f t="shared" si="4"/>
        <v>574.80000000000007</v>
      </c>
      <c r="L20" s="315">
        <v>580</v>
      </c>
      <c r="M20" s="313">
        <f t="shared" si="5"/>
        <v>6960</v>
      </c>
    </row>
    <row r="21" spans="1:13" ht="15" x14ac:dyDescent="0.25">
      <c r="A21" s="311"/>
    </row>
    <row r="22" spans="1:13" ht="15" x14ac:dyDescent="0.25">
      <c r="A22" s="311"/>
    </row>
    <row r="23" spans="1:13" ht="15" x14ac:dyDescent="0.25">
      <c r="A23" s="311"/>
    </row>
    <row r="24" spans="1:13" ht="15" x14ac:dyDescent="0.25">
      <c r="A24" s="311"/>
    </row>
    <row r="25" spans="1:13" ht="15" x14ac:dyDescent="0.25">
      <c r="A25" s="311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ข้อ 8.2(64-66)</vt:lpstr>
      <vt:lpstr>ข้อ 9 ภาระ คชจ. 64-66</vt:lpstr>
      <vt:lpstr>ข้อ 11 บัญชีแสดงฯ(64-66)</vt:lpstr>
      <vt:lpstr>แนบท้ายคำสั่งจัดคนลงสู่ตำแหน่ง</vt:lpstr>
      <vt:lpstr>คชจ.พนง.จ้าง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Administrator</cp:lastModifiedBy>
  <cp:lastPrinted>2021-06-08T06:27:54Z</cp:lastPrinted>
  <dcterms:created xsi:type="dcterms:W3CDTF">2016-09-07T04:49:37Z</dcterms:created>
  <dcterms:modified xsi:type="dcterms:W3CDTF">2021-08-08T06:43:53Z</dcterms:modified>
</cp:coreProperties>
</file>