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3835" windowHeight="9975" firstSheet="2" activeTab="7"/>
  </bookViews>
  <sheets>
    <sheet name="บัญชีจัดคนสู่ตำแหน่ง(ในเล่ม)" sheetId="11" r:id="rId1"/>
    <sheet name="บัญชีจัดคนสู่ตำแหน่ง(แนบคำสั่ง)" sheetId="10" r:id="rId2"/>
    <sheet name="กรอบอัตรากำลัง2" sheetId="9" r:id="rId3"/>
    <sheet name="กรอบอัตรากำลัง" sheetId="8" r:id="rId4"/>
    <sheet name="จัดคนลงสู่ตำแหน่งแนบคำสั่ง" sheetId="7" r:id="rId5"/>
    <sheet name="ภาระค่าใช้จ่าย58-60ม" sheetId="6" r:id="rId6"/>
    <sheet name="บัญชีจัดคนลงสู่ตำแหน่ง" sheetId="1" r:id="rId7"/>
    <sheet name="ข้อ 8.2" sheetId="2" r:id="rId8"/>
    <sheet name="Sheet3" sheetId="3" r:id="rId9"/>
  </sheets>
  <calcPr calcId="145621"/>
</workbook>
</file>

<file path=xl/calcChain.xml><?xml version="1.0" encoding="utf-8"?>
<calcChain xmlns="http://schemas.openxmlformats.org/spreadsheetml/2006/main">
  <c r="Q97" i="6" l="1"/>
  <c r="J112" i="11" l="1"/>
  <c r="J111" i="11"/>
  <c r="J110" i="11"/>
  <c r="J109" i="11"/>
  <c r="J107" i="11"/>
  <c r="J106" i="11"/>
  <c r="J95" i="11"/>
  <c r="J94" i="11"/>
  <c r="J93" i="11"/>
  <c r="J91" i="11"/>
  <c r="J90" i="11"/>
  <c r="J89" i="11"/>
  <c r="J88" i="11"/>
  <c r="K85" i="11"/>
  <c r="J85" i="11"/>
  <c r="M85" i="11" s="1"/>
  <c r="J82" i="11"/>
  <c r="J81" i="11"/>
  <c r="J79" i="11"/>
  <c r="J76" i="11"/>
  <c r="J74" i="11"/>
  <c r="J63" i="11"/>
  <c r="J62" i="11"/>
  <c r="K60" i="11"/>
  <c r="J60" i="11"/>
  <c r="J57" i="11"/>
  <c r="J56" i="11"/>
  <c r="J55" i="11"/>
  <c r="J54" i="11"/>
  <c r="J53" i="11"/>
  <c r="J51" i="11"/>
  <c r="J49" i="11"/>
  <c r="J48" i="11"/>
  <c r="J47" i="11"/>
  <c r="J46" i="11"/>
  <c r="J45" i="11"/>
  <c r="J44" i="11"/>
  <c r="J24" i="11"/>
  <c r="J21" i="11"/>
  <c r="J19" i="11"/>
  <c r="J18" i="11"/>
  <c r="J16" i="11"/>
  <c r="J15" i="11"/>
  <c r="K13" i="11"/>
  <c r="J13" i="11"/>
  <c r="M13" i="11" s="1"/>
  <c r="M9" i="11"/>
  <c r="K9" i="11"/>
  <c r="L7" i="11"/>
  <c r="K7" i="11"/>
  <c r="J7" i="11"/>
  <c r="M60" i="11" l="1"/>
  <c r="M7" i="11"/>
  <c r="Q94" i="6"/>
  <c r="F9" i="6" l="1"/>
  <c r="J112" i="10" l="1"/>
  <c r="J111" i="10"/>
  <c r="J110" i="10"/>
  <c r="J109" i="10"/>
  <c r="J107" i="10"/>
  <c r="J106" i="10"/>
  <c r="J95" i="10"/>
  <c r="J94" i="10"/>
  <c r="J93" i="10"/>
  <c r="J91" i="10"/>
  <c r="J90" i="10"/>
  <c r="J89" i="10"/>
  <c r="J88" i="10"/>
  <c r="K85" i="10"/>
  <c r="J85" i="10"/>
  <c r="M85" i="10" s="1"/>
  <c r="J82" i="10"/>
  <c r="J81" i="10"/>
  <c r="J79" i="10"/>
  <c r="J76" i="10"/>
  <c r="J74" i="10"/>
  <c r="J63" i="10"/>
  <c r="J62" i="10"/>
  <c r="K60" i="10"/>
  <c r="J60" i="10"/>
  <c r="M60" i="10" s="1"/>
  <c r="J57" i="10"/>
  <c r="J56" i="10"/>
  <c r="J55" i="10"/>
  <c r="J54" i="10"/>
  <c r="J53" i="10"/>
  <c r="J51" i="10"/>
  <c r="J49" i="10"/>
  <c r="J48" i="10"/>
  <c r="J47" i="10"/>
  <c r="J46" i="10"/>
  <c r="J45" i="10"/>
  <c r="J44" i="10"/>
  <c r="J24" i="10"/>
  <c r="J21" i="10"/>
  <c r="J19" i="10"/>
  <c r="J18" i="10"/>
  <c r="J16" i="10"/>
  <c r="J15" i="10"/>
  <c r="K13" i="10"/>
  <c r="J13" i="10"/>
  <c r="M13" i="10" s="1"/>
  <c r="M9" i="10"/>
  <c r="K9" i="10"/>
  <c r="L7" i="10"/>
  <c r="K7" i="10"/>
  <c r="M7" i="10" s="1"/>
  <c r="J7" i="10"/>
  <c r="J109" i="1" l="1"/>
  <c r="J111" i="1"/>
  <c r="J110" i="1"/>
  <c r="J106" i="1"/>
  <c r="J105" i="1"/>
  <c r="J94" i="1"/>
  <c r="J93" i="1"/>
  <c r="J92" i="1"/>
  <c r="J90" i="1"/>
  <c r="J89" i="1"/>
  <c r="J87" i="1"/>
  <c r="J84" i="1"/>
  <c r="J81" i="1"/>
  <c r="J80" i="1"/>
  <c r="J78" i="1"/>
  <c r="J75" i="1"/>
  <c r="J73" i="1"/>
  <c r="J63" i="1"/>
  <c r="J62" i="1"/>
  <c r="J60" i="1"/>
  <c r="J51" i="1"/>
  <c r="J45" i="1"/>
  <c r="J49" i="1"/>
  <c r="J48" i="1"/>
  <c r="J47" i="1"/>
  <c r="J46" i="1"/>
  <c r="J44" i="1"/>
  <c r="J24" i="1"/>
  <c r="J21" i="1"/>
  <c r="J18" i="1"/>
  <c r="J16" i="1"/>
  <c r="J15" i="1"/>
  <c r="K7" i="1"/>
  <c r="L7" i="1"/>
  <c r="J7" i="1"/>
  <c r="R94" i="6" l="1"/>
  <c r="P94" i="6"/>
  <c r="E95" i="6"/>
  <c r="Q91" i="6"/>
  <c r="F94" i="6"/>
  <c r="F93" i="6"/>
  <c r="F92" i="6"/>
  <c r="F79" i="6"/>
  <c r="F37" i="6"/>
  <c r="D95" i="6" l="1"/>
  <c r="M79" i="6" l="1"/>
  <c r="O79" i="6"/>
  <c r="N79" i="6"/>
  <c r="Q79" i="6" s="1"/>
  <c r="P51" i="6"/>
  <c r="Q55" i="6"/>
  <c r="Q54" i="6"/>
  <c r="Q53" i="6"/>
  <c r="Q52" i="6"/>
  <c r="Q51" i="6"/>
  <c r="R79" i="6" l="1"/>
  <c r="O78" i="6"/>
  <c r="N77" i="6"/>
  <c r="O40" i="6"/>
  <c r="N40" i="6"/>
  <c r="O39" i="6"/>
  <c r="N39" i="6"/>
  <c r="O36" i="6"/>
  <c r="N36" i="6"/>
  <c r="O82" i="6"/>
  <c r="N82" i="6"/>
  <c r="O81" i="6"/>
  <c r="N81" i="6"/>
  <c r="F82" i="6" l="1"/>
  <c r="Q82" i="6" s="1"/>
  <c r="F81" i="6"/>
  <c r="Q81" i="6" s="1"/>
  <c r="F78" i="6"/>
  <c r="F77" i="6"/>
  <c r="Q77" i="6" s="1"/>
  <c r="O67" i="6"/>
  <c r="N67" i="6"/>
  <c r="F67" i="6"/>
  <c r="F68" i="6"/>
  <c r="O65" i="6"/>
  <c r="N65" i="6"/>
  <c r="F65" i="6"/>
  <c r="Q65" i="6" s="1"/>
  <c r="F49" i="6"/>
  <c r="F55" i="6"/>
  <c r="F41" i="6"/>
  <c r="F40" i="6"/>
  <c r="Q40" i="6" s="1"/>
  <c r="F39" i="6"/>
  <c r="Q39" i="6" s="1"/>
  <c r="F38" i="6"/>
  <c r="F36" i="6"/>
  <c r="Q36" i="6" s="1"/>
  <c r="Q67" i="6" l="1"/>
  <c r="O75" i="6"/>
  <c r="O74" i="6"/>
  <c r="O71" i="6"/>
  <c r="O70" i="6"/>
  <c r="N70" i="6"/>
  <c r="O73" i="6"/>
  <c r="O72" i="6"/>
  <c r="N75" i="6"/>
  <c r="N74" i="6"/>
  <c r="N71" i="6"/>
  <c r="N61" i="6"/>
  <c r="Q61" i="6" s="1"/>
  <c r="N73" i="6"/>
  <c r="Q73" i="6" s="1"/>
  <c r="N72" i="6"/>
  <c r="Q72" i="6" s="1"/>
  <c r="N57" i="6"/>
  <c r="F75" i="6"/>
  <c r="Q75" i="6" s="1"/>
  <c r="F74" i="6"/>
  <c r="F71" i="6"/>
  <c r="Q71" i="6" s="1"/>
  <c r="F62" i="6"/>
  <c r="F70" i="6"/>
  <c r="Q70" i="6" s="1"/>
  <c r="F57" i="6"/>
  <c r="Q57" i="6" s="1"/>
  <c r="O62" i="6"/>
  <c r="O60" i="6"/>
  <c r="O59" i="6"/>
  <c r="O58" i="6"/>
  <c r="O57" i="6"/>
  <c r="O63" i="6"/>
  <c r="O61" i="6"/>
  <c r="F60" i="6"/>
  <c r="F59" i="6"/>
  <c r="F58" i="6"/>
  <c r="N63" i="6"/>
  <c r="Q63" i="6" s="1"/>
  <c r="N62" i="6"/>
  <c r="N60" i="6"/>
  <c r="N59" i="6"/>
  <c r="N58" i="6"/>
  <c r="O22" i="6"/>
  <c r="N22" i="6"/>
  <c r="N20" i="6"/>
  <c r="Q20" i="6" s="1"/>
  <c r="O21" i="6"/>
  <c r="O20" i="6"/>
  <c r="O19" i="6"/>
  <c r="N19" i="6"/>
  <c r="N18" i="6"/>
  <c r="O18" i="6"/>
  <c r="O17" i="6"/>
  <c r="N17" i="6"/>
  <c r="O16" i="6"/>
  <c r="N16" i="6"/>
  <c r="N15" i="6"/>
  <c r="O15" i="6"/>
  <c r="O14" i="6"/>
  <c r="N14" i="6"/>
  <c r="O13" i="6"/>
  <c r="N13" i="6"/>
  <c r="Q59" i="6" l="1"/>
  <c r="Q74" i="6"/>
  <c r="Q58" i="6"/>
  <c r="Q60" i="6"/>
  <c r="Q62" i="6"/>
  <c r="O12" i="6"/>
  <c r="N12" i="6"/>
  <c r="N10" i="6"/>
  <c r="O10" i="6"/>
  <c r="O9" i="6"/>
  <c r="N9" i="6"/>
  <c r="N21" i="6"/>
  <c r="Q21" i="6" s="1"/>
  <c r="M10" i="6" l="1"/>
  <c r="F22" i="6" l="1"/>
  <c r="Q22" i="6" s="1"/>
  <c r="F19" i="6"/>
  <c r="Q19" i="6" s="1"/>
  <c r="F17" i="6"/>
  <c r="Q17" i="6" s="1"/>
  <c r="F16" i="6"/>
  <c r="Q16" i="6" s="1"/>
  <c r="F15" i="6"/>
  <c r="Q15" i="6" s="1"/>
  <c r="F18" i="6"/>
  <c r="Q18" i="6" s="1"/>
  <c r="F14" i="6"/>
  <c r="Q14" i="6" s="1"/>
  <c r="F13" i="6"/>
  <c r="Q13" i="6" s="1"/>
  <c r="F10" i="6"/>
  <c r="F12" i="6"/>
  <c r="Q12" i="6" s="1"/>
  <c r="Q9" i="6"/>
  <c r="Q10" i="6" l="1"/>
  <c r="R10" i="6" s="1"/>
  <c r="E99" i="9"/>
  <c r="F99" i="9"/>
  <c r="D99" i="9"/>
  <c r="C99" i="9"/>
  <c r="F102" i="8" l="1"/>
  <c r="E102" i="8"/>
  <c r="D102" i="8"/>
  <c r="C102" i="8"/>
  <c r="J109" i="7" l="1"/>
  <c r="J108" i="7"/>
  <c r="J106" i="7"/>
  <c r="J105" i="7"/>
  <c r="J93" i="7"/>
  <c r="J92" i="7"/>
  <c r="J90" i="7"/>
  <c r="J89" i="7"/>
  <c r="J88" i="7"/>
  <c r="J87" i="7"/>
  <c r="J86" i="7"/>
  <c r="K84" i="7"/>
  <c r="J84" i="7"/>
  <c r="M84" i="7" s="1"/>
  <c r="J80" i="7"/>
  <c r="J78" i="7"/>
  <c r="J76" i="7"/>
  <c r="J75" i="7"/>
  <c r="J74" i="7"/>
  <c r="J73" i="7"/>
  <c r="J61" i="7"/>
  <c r="K59" i="7"/>
  <c r="J59" i="7"/>
  <c r="J56" i="7"/>
  <c r="J55" i="7"/>
  <c r="J54" i="7"/>
  <c r="J53" i="7"/>
  <c r="J52" i="7"/>
  <c r="J50" i="7"/>
  <c r="J47" i="7"/>
  <c r="J46" i="7"/>
  <c r="J45" i="7"/>
  <c r="J43" i="7"/>
  <c r="J24" i="7"/>
  <c r="J22" i="7"/>
  <c r="J19" i="7"/>
  <c r="J18" i="7"/>
  <c r="J17" i="7"/>
  <c r="J16" i="7"/>
  <c r="J15" i="7"/>
  <c r="M13" i="7"/>
  <c r="K13" i="7"/>
  <c r="J13" i="7"/>
  <c r="K9" i="7"/>
  <c r="J9" i="7"/>
  <c r="M9" i="7" s="1"/>
  <c r="L7" i="7"/>
  <c r="K7" i="7"/>
  <c r="M7" i="7" s="1"/>
  <c r="J7" i="7"/>
  <c r="M59" i="7" l="1"/>
  <c r="I95" i="6"/>
  <c r="H95" i="6"/>
  <c r="G95" i="6"/>
  <c r="M94" i="6"/>
  <c r="F103" i="2" l="1"/>
  <c r="E103" i="2"/>
  <c r="D103" i="2"/>
  <c r="C103" i="2"/>
  <c r="P92" i="6" l="1"/>
  <c r="R93" i="6"/>
  <c r="Q93" i="6"/>
  <c r="P93" i="6"/>
  <c r="M93" i="6"/>
  <c r="O68" i="6"/>
  <c r="N68" i="6"/>
  <c r="Q68" i="6" s="1"/>
  <c r="M68" i="6"/>
  <c r="O37" i="6"/>
  <c r="N37" i="6"/>
  <c r="M37" i="6"/>
  <c r="O41" i="6"/>
  <c r="N41" i="6"/>
  <c r="Q41" i="6" s="1"/>
  <c r="M41" i="6"/>
  <c r="M22" i="6"/>
  <c r="Q37" i="6" l="1"/>
  <c r="R37" i="6"/>
  <c r="R41" i="6"/>
  <c r="R68" i="6"/>
  <c r="M17" i="6"/>
  <c r="M19" i="6"/>
  <c r="R19" i="6" s="1"/>
  <c r="M18" i="6"/>
  <c r="R18" i="6" s="1"/>
  <c r="M20" i="6"/>
  <c r="M21" i="6"/>
  <c r="R21" i="6" s="1"/>
  <c r="R22" i="6"/>
  <c r="K60" i="1"/>
  <c r="M60" i="1"/>
  <c r="J57" i="1"/>
  <c r="J56" i="1"/>
  <c r="J55" i="1"/>
  <c r="J54" i="1"/>
  <c r="J53" i="1"/>
  <c r="J108" i="1"/>
  <c r="J88" i="1"/>
  <c r="K84" i="1" l="1"/>
  <c r="R20" i="6" l="1"/>
  <c r="M84" i="1"/>
  <c r="J19" i="1"/>
  <c r="J13" i="1"/>
  <c r="K13" i="1"/>
  <c r="K9" i="1"/>
  <c r="M7" i="1" l="1"/>
  <c r="M9" i="1"/>
  <c r="M13" i="1"/>
  <c r="M65" i="6" l="1"/>
  <c r="R65" i="6" l="1"/>
  <c r="M81" i="6"/>
  <c r="R81" i="6"/>
  <c r="F51" i="6"/>
  <c r="R92" i="6"/>
  <c r="Q92" i="6"/>
  <c r="R91" i="6"/>
  <c r="P91" i="6"/>
  <c r="T94" i="6" s="1"/>
  <c r="R55" i="6"/>
  <c r="P55" i="6"/>
  <c r="R54" i="6"/>
  <c r="P54" i="6"/>
  <c r="R53" i="6"/>
  <c r="P53" i="6"/>
  <c r="R52" i="6"/>
  <c r="P52" i="6"/>
  <c r="R51" i="6"/>
  <c r="T82" i="6" l="1"/>
  <c r="M49" i="6"/>
  <c r="O77" i="6"/>
  <c r="M77" i="6"/>
  <c r="M67" i="6"/>
  <c r="N78" i="6"/>
  <c r="Q78" i="6" s="1"/>
  <c r="M78" i="6"/>
  <c r="M40" i="6"/>
  <c r="O49" i="6"/>
  <c r="N49" i="6"/>
  <c r="Q49" i="6" s="1"/>
  <c r="M39" i="6"/>
  <c r="O38" i="6"/>
  <c r="N38" i="6"/>
  <c r="M38" i="6"/>
  <c r="M36" i="6"/>
  <c r="M63" i="6"/>
  <c r="M61" i="6"/>
  <c r="M72" i="6"/>
  <c r="M74" i="6"/>
  <c r="M73" i="6"/>
  <c r="R17" i="6"/>
  <c r="M71" i="6"/>
  <c r="M75" i="6"/>
  <c r="M70" i="6"/>
  <c r="M62" i="6"/>
  <c r="M60" i="6"/>
  <c r="M59" i="6"/>
  <c r="M14" i="6"/>
  <c r="M58" i="6"/>
  <c r="M57" i="6"/>
  <c r="M16" i="6"/>
  <c r="M15" i="6"/>
  <c r="M13" i="6"/>
  <c r="M12" i="6"/>
  <c r="P12" i="6" s="1"/>
  <c r="M9" i="6"/>
  <c r="R82" i="6"/>
  <c r="F91" i="6"/>
  <c r="R67" i="6"/>
  <c r="R58" i="6"/>
  <c r="R57" i="6"/>
  <c r="F54" i="6"/>
  <c r="F53" i="6"/>
  <c r="F95" i="6" s="1"/>
  <c r="F52" i="6"/>
  <c r="R36" i="6"/>
  <c r="R49" i="6" l="1"/>
  <c r="Q38" i="6"/>
  <c r="Q95" i="6" s="1"/>
  <c r="N95" i="6"/>
  <c r="O95" i="6"/>
  <c r="M95" i="6"/>
  <c r="P95" i="6"/>
  <c r="T41" i="6"/>
  <c r="T96" i="6" s="1"/>
  <c r="R63" i="6"/>
  <c r="R9" i="6"/>
  <c r="R15" i="6"/>
  <c r="R78" i="6"/>
  <c r="R77" i="6"/>
  <c r="R40" i="6"/>
  <c r="R75" i="6"/>
  <c r="R71" i="6"/>
  <c r="R62" i="6"/>
  <c r="R60" i="6"/>
  <c r="R59" i="6"/>
  <c r="R16" i="6"/>
  <c r="R14" i="6"/>
  <c r="R13" i="6"/>
  <c r="R38" i="6" l="1"/>
  <c r="P96" i="6"/>
  <c r="P97" i="6"/>
  <c r="P98" i="6" s="1"/>
  <c r="R12" i="6"/>
  <c r="R95" i="6" s="1"/>
  <c r="R73" i="6"/>
  <c r="R74" i="6"/>
  <c r="R61" i="6"/>
  <c r="R39" i="6"/>
  <c r="R72" i="6"/>
  <c r="R70" i="6"/>
  <c r="Q96" i="6" l="1"/>
  <c r="Q98" i="6" s="1"/>
  <c r="R96" i="6"/>
  <c r="R97" i="6" s="1"/>
  <c r="R98" i="6" s="1"/>
</calcChain>
</file>

<file path=xl/sharedStrings.xml><?xml version="1.0" encoding="utf-8"?>
<sst xmlns="http://schemas.openxmlformats.org/spreadsheetml/2006/main" count="2904" uniqueCount="387">
  <si>
    <t xml:space="preserve">                       </t>
  </si>
  <si>
    <t xml:space="preserve">          องค์การบริหารส่วนตำบลเขาโร  สามารถนำผลวิเคราะห์  การกำหนดอัตรากำลังพนักงานส่วนตำบล  มาคำนวณภาระค่าใช้จ่ายด้านการบริหารงานบุคคล  เพื่อประมาณการ</t>
  </si>
  <si>
    <t>ค่าใช้จ่าย  สำหรับนำไปจัดทำข้อบัญญัติงบประมาณรายจ่ายประจำปี  และเพื่อประโยชน์ในการควบคุมค่าใช้จ่าย  ด้านการบริหารงานบุคคลไม่ให้เกินร้อยละ  40 ของงบประมาณ</t>
  </si>
  <si>
    <t>รายจ่ายประจำปี ตามที่กฎหมายกำหนด</t>
  </si>
  <si>
    <t xml:space="preserve"> </t>
  </si>
  <si>
    <t>ที่</t>
  </si>
  <si>
    <t>ชื่อสายงาน</t>
  </si>
  <si>
    <t>ระดับ</t>
  </si>
  <si>
    <t>จำนวน</t>
  </si>
  <si>
    <t>ตำแหน่ง</t>
  </si>
  <si>
    <t>ทั้งหมด</t>
  </si>
  <si>
    <t>-</t>
  </si>
  <si>
    <t>สำนักงานปลัด อบต.</t>
  </si>
  <si>
    <t>เจ้าหน้าที่ธุรการ</t>
  </si>
  <si>
    <t>นักวิชาการศึกษา</t>
  </si>
  <si>
    <t>เจ้าพนักงานสาธารณสุขชุมชน</t>
  </si>
  <si>
    <t>นักวิชาการเกษตร</t>
  </si>
  <si>
    <t>บุคลากร</t>
  </si>
  <si>
    <t>นักวิชาการเงินและบัญชี</t>
  </si>
  <si>
    <t>เจ้าพนักงานการเงินและบัญชี</t>
  </si>
  <si>
    <t>เจ้าพนักงานพัสดุ</t>
  </si>
  <si>
    <t>เจ้าพนักงานจัดเก็บรายได้</t>
  </si>
  <si>
    <t>ส่วนโยธา</t>
  </si>
  <si>
    <t>นายช่างโยธา</t>
  </si>
  <si>
    <t>เจ้าพนักงานการประปา</t>
  </si>
  <si>
    <t>นายช่างไฟฟ้า</t>
  </si>
  <si>
    <t>ลูกจ้างประจำ</t>
  </si>
  <si>
    <t>เจ้าหน้าที่จัดเก็บรายได้</t>
  </si>
  <si>
    <t>รวม</t>
  </si>
  <si>
    <t>รวมเป็นค่าใช้จ่ายบุคคลทั้งสิ้น</t>
  </si>
  <si>
    <t>(7)</t>
  </si>
  <si>
    <t>(6)</t>
  </si>
  <si>
    <t>ประมาณการประโยชน์ตอบแทนอื่น 20%</t>
  </si>
  <si>
    <t>(5)</t>
  </si>
  <si>
    <t>(4)</t>
  </si>
  <si>
    <t>พนักงานจดมาตวัดน้ำ</t>
  </si>
  <si>
    <t>พนักงานจ้างทั่วไป</t>
  </si>
  <si>
    <t>พนักงานผลิตน้ำประปา</t>
  </si>
  <si>
    <t>พนักงานจ้างตามภารกิจ (มีทักษะ)</t>
  </si>
  <si>
    <t>ผู้ช่วยช่างไฟฟ้า</t>
  </si>
  <si>
    <t>ผู้ช่วยช่างโยธา</t>
  </si>
  <si>
    <t>พนักงานจ้างตามภารกิจ (มีคุณวุฒิ)</t>
  </si>
  <si>
    <t>(คน)</t>
  </si>
  <si>
    <t>จำนวนที่มีอยู่ปัจจุบัน</t>
  </si>
  <si>
    <t>คนงานทั่วไป</t>
  </si>
  <si>
    <t>ยาม</t>
  </si>
  <si>
    <t>พนักงานขับรถยนต์</t>
  </si>
  <si>
    <t>พนักงานขับเครื่องจักรกลขนาดเบา</t>
  </si>
  <si>
    <t>ผู้ช่วยเจ้าหน้าที่พัฒนาชุมชน</t>
  </si>
  <si>
    <t>ผู้ช่วยเจ้าหน้าที่ธุรการ</t>
  </si>
  <si>
    <t>ผู้ช่วยครูผู้ดูแลเด็ก</t>
  </si>
  <si>
    <t>ผู้ช่วยหัวหน้าศูนย์พัฒนาเด็กเล็ก</t>
  </si>
  <si>
    <t>ผู้ช่วยนักวิชาการศึกษา</t>
  </si>
  <si>
    <t>ผู้ช่วยเจ้าหน้าที่ป้องกันและบรรเทาสาธารณภัย</t>
  </si>
  <si>
    <t>นักพัฒนาชุมชน</t>
  </si>
  <si>
    <t>ครู</t>
  </si>
  <si>
    <t>ครูผู้ช่วย (ครูผู้ดูแลเด็ก)</t>
  </si>
  <si>
    <t>อัตรากำลังคน</t>
  </si>
  <si>
    <t>เพิ่ม/ลด</t>
  </si>
  <si>
    <t>หมายเหตุ</t>
  </si>
  <si>
    <t>เงินเดือน (1)</t>
  </si>
  <si>
    <t>อัตราตำแหน่งที่คาดว่าจะต้องใช้</t>
  </si>
  <si>
    <t>ในช่วงระยะ 3 ปีข้างหน้า</t>
  </si>
  <si>
    <t>ภาระค่าใช้จ่ายที่ต้องการเพิ่มขึ้น (2)</t>
  </si>
  <si>
    <t>ค่าใช้จ่ายรวม (3)</t>
  </si>
  <si>
    <t>6ว</t>
  </si>
  <si>
    <t>3-5/6ว</t>
  </si>
  <si>
    <t>ว่างเดิม</t>
  </si>
  <si>
    <t>นักวิชาการพัสดุ</t>
  </si>
  <si>
    <t>สำนักงานปลัด อบต. (01)</t>
  </si>
  <si>
    <t>รวมไม่เกินร้อยละ  40 ของงบประมาณรายจ่ายประจำปี</t>
  </si>
  <si>
    <t xml:space="preserve">                11.  บัญชีแสดงจัดคนลงสู่ตำแหน่งและการกำหนดเลขที่ตำแหน่งในส่วนราชการ</t>
  </si>
  <si>
    <t xml:space="preserve">กองคลัง </t>
  </si>
  <si>
    <t>ชื่อ - สกุล</t>
  </si>
  <si>
    <t>คุณวุฒิ</t>
  </si>
  <si>
    <t>การศึกษา</t>
  </si>
  <si>
    <t>เลขที่ตำแหน่ง</t>
  </si>
  <si>
    <t>กรอบอัตรากำลังเดิม</t>
  </si>
  <si>
    <t>กรอบอัตรากำลังใหม่</t>
  </si>
  <si>
    <t>เงินเดือน</t>
  </si>
  <si>
    <t>เงินประจำตำแหน่ง</t>
  </si>
  <si>
    <t>เงินเพิ่มอื่นๆ/เงิน</t>
  </si>
  <si>
    <t>ค่าตอบแทน</t>
  </si>
  <si>
    <t>นายชำนาญ  เกิดบัวทอง</t>
  </si>
  <si>
    <t>00-0101-001</t>
  </si>
  <si>
    <t>นักบริหารงาน อบต.</t>
  </si>
  <si>
    <t>(ปลัด อบต.)</t>
  </si>
  <si>
    <t>ปริญญาโท</t>
  </si>
  <si>
    <t>นางสกาวเดือน ไกรสิทธิ์   สุดแก้ว</t>
  </si>
  <si>
    <t>00-0101-002</t>
  </si>
  <si>
    <t>(รองปลัด อบต.)</t>
  </si>
  <si>
    <t>นางปริษา   ถาวรฤทธิพล</t>
  </si>
  <si>
    <t>01-0102-001</t>
  </si>
  <si>
    <t>นักบริหารงานทั่วไป</t>
  </si>
  <si>
    <t>(หัวหน้าสำนักงานปลัด)</t>
  </si>
  <si>
    <t>เจ้าหน้าที่วิเคราะห์นโยบายฯ</t>
  </si>
  <si>
    <t>ปริญญาตรี</t>
  </si>
  <si>
    <t>01-0201-001</t>
  </si>
  <si>
    <t>นางสาวมาริสา   ทองนุ่น</t>
  </si>
  <si>
    <t>นายอธิวัฒน์   เพ็งจันทร์</t>
  </si>
  <si>
    <t>01-0708-001</t>
  </si>
  <si>
    <t>นางพรนภา    จิ้วฮวด</t>
  </si>
  <si>
    <t>01-0208-001</t>
  </si>
  <si>
    <t>นายชัยนันท์    ศรีอินทร์</t>
  </si>
  <si>
    <t>01-0805-001</t>
  </si>
  <si>
    <t>นักวิชาการศึกา</t>
  </si>
  <si>
    <t>01-0704-001</t>
  </si>
  <si>
    <t xml:space="preserve">นักพัฒนาชุมชน </t>
  </si>
  <si>
    <t>01-0422-001</t>
  </si>
  <si>
    <t>เจ้าพนักงานสาธารณสุขฯ</t>
  </si>
  <si>
    <t>2-4/5</t>
  </si>
  <si>
    <t>1-3/4</t>
  </si>
  <si>
    <t>01-0211-001</t>
  </si>
  <si>
    <t>นางสาวสุพรรณษา   พันธรักษ์</t>
  </si>
  <si>
    <t>นางวิมล   ธงรอด</t>
  </si>
  <si>
    <t>นางสุบงกช   ชอบทำกิจ</t>
  </si>
  <si>
    <t>นางมุทิตา   ลีบุญ</t>
  </si>
  <si>
    <t>นางภัคจิรา   พูลสวัสดิ์</t>
  </si>
  <si>
    <t>นางสาวนุชนาถ    รัตนบุรี</t>
  </si>
  <si>
    <t>80-2-0454</t>
  </si>
  <si>
    <t>80-2-0455</t>
  </si>
  <si>
    <t>80-2-0456</t>
  </si>
  <si>
    <t>80-2-0227</t>
  </si>
  <si>
    <t>80-2-0228</t>
  </si>
  <si>
    <t>80-2-0229</t>
  </si>
  <si>
    <t>นางรัตนาภรณ์   จึงจะดี</t>
  </si>
  <si>
    <t>นางอารมย์   ไหมจุ้ย</t>
  </si>
  <si>
    <t>นางอุไร  สุขนิตย์</t>
  </si>
  <si>
    <t>นางสุพิศ    ท้าวฉาย</t>
  </si>
  <si>
    <t>นางสาวจันจิรา   ดำสิงห์</t>
  </si>
  <si>
    <t>นางสาวอำพา    จีนประสม</t>
  </si>
  <si>
    <t>นางสาวสุพัฒนี    รุ่งเรือง</t>
  </si>
  <si>
    <t>ผู้ช่วยเจ้าหน้าที่ป้องกันฯ</t>
  </si>
  <si>
    <t>นายเอกพนธ์   สังขโชติ</t>
  </si>
  <si>
    <t>นายวิรัตรน์    ระวังสุข</t>
  </si>
  <si>
    <t>นายสราวุธ    สิทธิฤทธิ์</t>
  </si>
  <si>
    <t>นายปราโมทย์    รัตนบุรี</t>
  </si>
  <si>
    <t>นายพิษณุ    ศรีสว่าง</t>
  </si>
  <si>
    <t>นายสายัณ    เทพสุด</t>
  </si>
  <si>
    <t>นางยุภภรณ์   สว่างวงศ์</t>
  </si>
  <si>
    <t>กองคลัง</t>
  </si>
  <si>
    <t>นางจรรยา   ยอดพิจิตร</t>
  </si>
  <si>
    <t>04-0103-001</t>
  </si>
  <si>
    <t>นักบริหารงานการคลัง</t>
  </si>
  <si>
    <t>นางณภัตสร   ยังบุญสุข</t>
  </si>
  <si>
    <t>04-0307-001</t>
  </si>
  <si>
    <t>นางชนิศา    วงศ์เพชร</t>
  </si>
  <si>
    <t>04-0311-001</t>
  </si>
  <si>
    <t>นางจิราภรณ์    จริตงาม</t>
  </si>
  <si>
    <t>04-0306-001</t>
  </si>
  <si>
    <t>เจ้าพนักงานการเงินฯ</t>
  </si>
  <si>
    <t>04-0313-001</t>
  </si>
  <si>
    <t>นางสาวอณูวรรณ    อินทะสะราช</t>
  </si>
  <si>
    <t>04-0309-001</t>
  </si>
  <si>
    <t>04-0305-001</t>
  </si>
  <si>
    <t>เจ้าหน้าที่การเงินฯ</t>
  </si>
  <si>
    <t>นางสาววรุณี    เทพรัตน์</t>
  </si>
  <si>
    <t>นายสุชาติ   ช่วยรักษ์</t>
  </si>
  <si>
    <t>05-0104-001</t>
  </si>
  <si>
    <t>นักบริหารงานช่าง</t>
  </si>
  <si>
    <t>(หัวหน้าส่วนโยธา)</t>
  </si>
  <si>
    <t>นายสว่างชาติ    สว่างวงศ์</t>
  </si>
  <si>
    <t>ปวส.</t>
  </si>
  <si>
    <t>05-0503-001</t>
  </si>
  <si>
    <t>นางสาวนภาพร   จริตงาม</t>
  </si>
  <si>
    <t>05-0211-002</t>
  </si>
  <si>
    <t>05-0503-002</t>
  </si>
  <si>
    <t>05-0602-001</t>
  </si>
  <si>
    <t>05-0524-001</t>
  </si>
  <si>
    <t>นายเทียนชัย    ดำเกลี้ยง</t>
  </si>
  <si>
    <t>นายสำเริง   พลเมือง</t>
  </si>
  <si>
    <t>ปวช.</t>
  </si>
  <si>
    <t>ผู้ช่วยเจ้าหน้าที่การประปา</t>
  </si>
  <si>
    <t>นายเดชา   ศรีระษา</t>
  </si>
  <si>
    <t>กำหนดเพิ่ม</t>
  </si>
  <si>
    <t xml:space="preserve"> -</t>
  </si>
  <si>
    <t>นายธีรพจน์    รำเทียมเมฆ</t>
  </si>
  <si>
    <t>พนักงานจดมาตรวัดน้ำ</t>
  </si>
  <si>
    <t>นายสนธยา    รักษาสัตย์</t>
  </si>
  <si>
    <t>นิติกร</t>
  </si>
  <si>
    <t>เจ้าหน้าที่บริหารงานทั่วไป</t>
  </si>
  <si>
    <t>01-0209-001</t>
  </si>
  <si>
    <t>01-0202-001</t>
  </si>
  <si>
    <t>นายโกสินทร์   อินทร์แป็น</t>
  </si>
  <si>
    <t>ปริญาตรี</t>
  </si>
  <si>
    <t>องค์การบริหารส่วนตำบลเขาโร   อำเภอทุ่งสง   จังหวัดนครศรีธรรมราช</t>
  </si>
  <si>
    <t>สำนักงานปลัด</t>
  </si>
  <si>
    <t>พนักงานส่วนตำบล</t>
  </si>
  <si>
    <t xml:space="preserve"> -ว่าง-</t>
  </si>
  <si>
    <t>(ผู้อำนวยการกองคลัง)</t>
  </si>
  <si>
    <t>นางทัศนีย์   ไชยรัตน์</t>
  </si>
  <si>
    <t xml:space="preserve"> - </t>
  </si>
  <si>
    <t>ผู้ช่วยเจ้าหน้าที่จัดเก็บรายได้</t>
  </si>
  <si>
    <t>ผู้ช่วยเจ้าพนักงานส่งเสริมการท่องเที่ยว</t>
  </si>
  <si>
    <t>ผู้ช่วยเจ้าหน้าที่ประชาสัมพันธ์</t>
  </si>
  <si>
    <t>ม.3</t>
  </si>
  <si>
    <t>เจ้าพนักงานป้องกันและบรรเทาสาธารณภัย</t>
  </si>
  <si>
    <t xml:space="preserve"> +1</t>
  </si>
  <si>
    <t xml:space="preserve"> -1</t>
  </si>
  <si>
    <r>
      <t xml:space="preserve">                  </t>
    </r>
    <r>
      <rPr>
        <b/>
        <sz val="12"/>
        <rFont val="TH SarabunIT๙"/>
        <family val="2"/>
      </rPr>
      <t xml:space="preserve">    9.  ภาระค่าใช้จ่ายเกี่ยวกับเงินเดือนและประโยชน์ตอบแทนอื่น</t>
    </r>
  </si>
  <si>
    <r>
      <t xml:space="preserve">                  </t>
    </r>
    <r>
      <rPr>
        <b/>
        <sz val="16"/>
        <rFont val="TH SarabunIT๙"/>
        <family val="2"/>
      </rPr>
      <t xml:space="preserve">       8.2 การวิเคราะห์การกำหนดตำแหน่ง</t>
    </r>
  </si>
  <si>
    <t xml:space="preserve"> หมายเหตุ</t>
  </si>
  <si>
    <t>ราชการในอนาคต 3 ปี ซึ่งจะเป็นตัวสะท้อนให้เห็นว่าปริมาณงานในแต่ละส่วนราชการมีเท่าใดเพื่อนำมาวิเคราะห์ว่าจะ</t>
  </si>
  <si>
    <t>ใช้ตำแหน่งใด จำนวนเท่าใดในส่วนราชการใดในระยะเวลา 3 ปีข้างหน้า จึงจะเหมาะสมกับภารกิจและปริมาณเพื่อให้</t>
  </si>
  <si>
    <t>คุ้มค่าต่อการใช้จ่ายงบประมาณขององค์การบริหารส่วนตำบลและเพื่อให้การบริหารงานขององค์การบริหารส่วนตำบล</t>
  </si>
  <si>
    <t>เป็นไปอย่างมีประสิทธิภาพ ประสิทธิผลโดยนำผลการวิเคราะห์ตำแหน่งมากรอกข้อมูลลงในกรอบอัตรากำลัง 3 ปี ดังนี้</t>
  </si>
  <si>
    <t>นักบริหารงาน อบต. (ปลัด อบต.)  8</t>
  </si>
  <si>
    <t>นักบริหารงาน อบต. (รองปลัด อบต.)  6</t>
  </si>
  <si>
    <t>นักบริหารงานทั่วไป  (หน.สำนักปลัด)  7</t>
  </si>
  <si>
    <t>เจ้าหน้าที่วิเคราะห์นโยบายและแผน 3-5/6ว</t>
  </si>
  <si>
    <t>นักวิชาการศึกษา  3-5/6ว</t>
  </si>
  <si>
    <t>บุคลากร  3-5/6ว</t>
  </si>
  <si>
    <t>นักพัฒนาชุมชน  3-5/6ว</t>
  </si>
  <si>
    <t>นิติกร  3-5/6ว</t>
  </si>
  <si>
    <t>เจ้าหน้าที่บริหารงานทั่วไป  3-5/6ว</t>
  </si>
  <si>
    <t>เจ้าพนักงานสาธารณสุขชุมชน  2-4/5</t>
  </si>
  <si>
    <t>ยุบเลิก</t>
  </si>
  <si>
    <t>เจ้าพนักงานป้องกันและบรรเทาสาธารณภัย 2-4/5</t>
  </si>
  <si>
    <t>กรอบ</t>
  </si>
  <si>
    <t>อัตรา</t>
  </si>
  <si>
    <t>กำลั</t>
  </si>
  <si>
    <t>เจ้าหน้าที่ป้องกันและบรรเทาสาธารณภัย 2-4/5</t>
  </si>
  <si>
    <t>เจ้าหน้าที่ธุรการ  1-3/4</t>
  </si>
  <si>
    <t>ครู  (ค.ศ.1)</t>
  </si>
  <si>
    <t>+8</t>
  </si>
  <si>
    <t>นักบริหารงานการคลัง (ผอ.กองคลัง)  7</t>
  </si>
  <si>
    <t>นักวิชาการเงินและบัญชี  3-5/6ว</t>
  </si>
  <si>
    <t>นักวิชาการพัสดุ  3-5/6ว</t>
  </si>
  <si>
    <t>เจ้าพนักงานการเงินและบัญชี  2-4/5</t>
  </si>
  <si>
    <t>เจ้าพนักงานพัสดุ  2-4/5</t>
  </si>
  <si>
    <t>เจ้าพนักงานจัดเก็บรายได้  2-4/5</t>
  </si>
  <si>
    <t>เจ้าหน้าที่การเงินและบัญชี  1-3/4</t>
  </si>
  <si>
    <t>นักบริหารงานช่าง  (หน.ส่วนโยธา)  7</t>
  </si>
  <si>
    <t>นายช่างโยธา  2-4/5</t>
  </si>
  <si>
    <t>เจ้าพนักงานการประปา  2-4/5</t>
  </si>
  <si>
    <t>นายช่างไฟฟ้า  2-4/5</t>
  </si>
  <si>
    <t>2558</t>
  </si>
  <si>
    <t>กำลัง</t>
  </si>
  <si>
    <t>2559</t>
  </si>
  <si>
    <t>2560</t>
  </si>
  <si>
    <t xml:space="preserve"> '2558</t>
  </si>
  <si>
    <t xml:space="preserve"> '2559</t>
  </si>
  <si>
    <t xml:space="preserve"> '2560</t>
  </si>
  <si>
    <t>เจ้าพนักงานป้องกันฯ</t>
  </si>
  <si>
    <t>01-0222-001</t>
  </si>
  <si>
    <t>แนบท้ายคำสั่งองค์การบริหารส่วนตำบลเขาโร  ที่  291/2557    ลงวันที่  1  ตุลาคม  2557</t>
  </si>
  <si>
    <t xml:space="preserve">บัญชีแสดงจัดคนลงสู่ตำแหน่งและการกำหนดเลขที่ตำแหน่งในส่วนราชการ              </t>
  </si>
  <si>
    <t xml:space="preserve"> -4-</t>
  </si>
  <si>
    <t xml:space="preserve"> -2-</t>
  </si>
  <si>
    <t xml:space="preserve"> -3-</t>
  </si>
  <si>
    <t>(ลงชื่อ)                                    ผู้ตรวจสอบข้อมูล</t>
  </si>
  <si>
    <t xml:space="preserve">          (นายชำนาญ    เกิดบัวทอง)</t>
  </si>
  <si>
    <t xml:space="preserve">      ปลัดองค์การบริหารส่วนตำบลเขาโร</t>
  </si>
  <si>
    <t xml:space="preserve">                        องค์การบริหารส่วนตำบลเขาโร  ได้วิเคราะห์กำหนดตำแหน่ง ภารกิจที่จะดำเนินการในแต่ละส่วน</t>
  </si>
  <si>
    <t xml:space="preserve"> 18/1</t>
  </si>
  <si>
    <t>นักวิชาการเกษตร 7ว</t>
  </si>
  <si>
    <t>+1</t>
  </si>
  <si>
    <t>ครูผู้ดูแลเด็ก (ครูผู้ช่วย)</t>
  </si>
  <si>
    <t xml:space="preserve"> 18/2</t>
  </si>
  <si>
    <t>นักวิชาการเงินและบัญชี 7ว</t>
  </si>
  <si>
    <t>ปลัด อบต. (นักบริหารงานท้องถิ่น)</t>
  </si>
  <si>
    <t>บริหารท้องถิ่นระดับกลาง</t>
  </si>
  <si>
    <t>รองปลัด อบต. (นักบริหารงานท้องถิ่น)</t>
  </si>
  <si>
    <t>บริหารท้องถิ่นระดับต้น</t>
  </si>
  <si>
    <t>หน.สำนักปลัด (นักบริหารงานทั่วไป)</t>
  </si>
  <si>
    <t>อำนวยการท้องถิ่นระดับต้น</t>
  </si>
  <si>
    <t>นักวิเคราะห์นโยบายและแผน</t>
  </si>
  <si>
    <t>ชก.</t>
  </si>
  <si>
    <t>ปก./ชก.</t>
  </si>
  <si>
    <t>ปก.</t>
  </si>
  <si>
    <t>ปง./ชง.</t>
  </si>
  <si>
    <t>นักทรัพยากรบุคคล</t>
  </si>
  <si>
    <t>ปง.</t>
  </si>
  <si>
    <t>นักจัดการงานทั่วไป</t>
  </si>
  <si>
    <t>เจ้าพนักงานธุรการ</t>
  </si>
  <si>
    <t>ค.ศ.1</t>
  </si>
  <si>
    <t>ผู้อำนวยการกองคลัง (นักบริหารงานคลัง)</t>
  </si>
  <si>
    <t>ชง.</t>
  </si>
  <si>
    <t>ผู้อำนวยการกองช่าง (นักบริหารงานช่าง)</t>
  </si>
  <si>
    <t xml:space="preserve">เจ้าพนักงานการเงินและบัญชี </t>
  </si>
  <si>
    <t>ผู้ช่วยเจ้าพนักงานการประปา</t>
  </si>
  <si>
    <t>ครูผู้ดูแลเด็ก</t>
  </si>
  <si>
    <t>ครูผู้ช่วย</t>
  </si>
  <si>
    <t>อัตรากำลัง</t>
  </si>
  <si>
    <t>เดิม</t>
  </si>
  <si>
    <t>ปลัดองค์การบริหารส่วนตำบล</t>
  </si>
  <si>
    <t>(นักบริหารงานท้องถิ่น ระดับกลาง)</t>
  </si>
  <si>
    <t>รองปลัดองค์การบริหารส่วนตำบล</t>
  </si>
  <si>
    <t>(นักบริหารงานท้องถิ่น ระดับต้น)</t>
  </si>
  <si>
    <t>(นักบริหารงานทั่วไป ระดับต้น)</t>
  </si>
  <si>
    <t>หัวหน้าสำนักปลัด</t>
  </si>
  <si>
    <t>นักวิเคราะห์นโยบายและแผน (ชก.)</t>
  </si>
  <si>
    <t>นักวิชาการเกษตร (ชก.)</t>
  </si>
  <si>
    <t>นักวิชาการศึกษา  (ปก./ชก)</t>
  </si>
  <si>
    <t>นักทรัพยากรบุคคล (ชก.)</t>
  </si>
  <si>
    <t>นักพัฒนาชุมชน (ปก.)</t>
  </si>
  <si>
    <t>นิติกร  (ปก./ชก)</t>
  </si>
  <si>
    <t xml:space="preserve">นักจัดการงานทั่วไป (ปก.) </t>
  </si>
  <si>
    <t>เจ้าพนักงานสาธารณสุขชุมชน (ปง./ชง.)</t>
  </si>
  <si>
    <t>เจ้าพนักงานป้องกันและบรรเทาสาธารณภัย(ปง./ชง.)</t>
  </si>
  <si>
    <t xml:space="preserve">เจ้าพนักงานธุรการ (ปง.) </t>
  </si>
  <si>
    <t>ผู้อำนวยการกองคลัง</t>
  </si>
  <si>
    <t>(นักบริหารงานคลัง ระดับต้น)</t>
  </si>
  <si>
    <t>นักวิชาการเงินและบัญชี (ชก.)</t>
  </si>
  <si>
    <t>นักวิชาการพัสดุ (ปก.)</t>
  </si>
  <si>
    <t>เจ้าพนักงานการเงินและบัญชี (ชง.)</t>
  </si>
  <si>
    <t>เจ้าพนักงานพัสดุ  (ปง./ชง.)</t>
  </si>
  <si>
    <t>เจ้าพนักงานจัดเก็บรายได้  (ชง.)</t>
  </si>
  <si>
    <t>เจ้าพนักงานการเงินและบัญชี (ปง./ชง.)</t>
  </si>
  <si>
    <t xml:space="preserve">เจ้าพนักงานจัดเก็บรายได้ </t>
  </si>
  <si>
    <t>(บริหารงานช่าง ระดับต้น)</t>
  </si>
  <si>
    <t>ผู้อำนวยการกองช่าง</t>
  </si>
  <si>
    <t>นายช่างโยธา  (ชง.)</t>
  </si>
  <si>
    <t>นายช่างโยธา  (ปง./ชง.)</t>
  </si>
  <si>
    <t>เจ้าพนักงานการประปา  (ปง./ชง.)</t>
  </si>
  <si>
    <t>นายช่างไฟฟ้า (ปง.)</t>
  </si>
  <si>
    <t>เจ้าพนักงานธุรการ (ปง.)</t>
  </si>
  <si>
    <t>กองคลัง (04)</t>
  </si>
  <si>
    <t>กองช่าง (05)</t>
  </si>
  <si>
    <t>21-3-00-1101-001</t>
  </si>
  <si>
    <t>(นักบริหารงานท้องถิ่น)</t>
  </si>
  <si>
    <t>กลาง</t>
  </si>
  <si>
    <t>21-3-00-1101-002</t>
  </si>
  <si>
    <t>ต้น</t>
  </si>
  <si>
    <t>ร.ม.(รัฐศาสตร์)</t>
  </si>
  <si>
    <t>นางสุปาณี   มณีฉาย</t>
  </si>
  <si>
    <t>ศศ.บ. (การจัด</t>
  </si>
  <si>
    <t>การทั่วไป/บัญชี)</t>
  </si>
  <si>
    <t>21-3-01-2101-001</t>
  </si>
  <si>
    <t>(นักบริหารงานทั่วไป)</t>
  </si>
  <si>
    <t>ศศ.บ.(รัฐศาสตร์)</t>
  </si>
  <si>
    <t>วท.บ.(สัตวศาสตร์)</t>
  </si>
  <si>
    <t>21-3-01-3103-001</t>
  </si>
  <si>
    <t>21-3-01-3401-001</t>
  </si>
  <si>
    <t>21-3-01-3803-001</t>
  </si>
  <si>
    <t>รป.ม.(รัฐประศาสนศาสตร์)</t>
  </si>
  <si>
    <t>21-3-01-3102-001</t>
  </si>
  <si>
    <t>นางสาวกิจกาล   เดชาฐาน</t>
  </si>
  <si>
    <t xml:space="preserve">วท.บ. (เคมี) </t>
  </si>
  <si>
    <t>21-3-01-3801-001</t>
  </si>
  <si>
    <t>นางสาวเกษร   สโมสาร</t>
  </si>
  <si>
    <t>21-3-01-3101-001</t>
  </si>
  <si>
    <t>21--3-01-4601-001</t>
  </si>
  <si>
    <t>21-3-01-4805-001</t>
  </si>
  <si>
    <t>21-3-01-4101-001</t>
  </si>
  <si>
    <t>ครู (ค.ศ.1)</t>
  </si>
  <si>
    <t>21-3-01-3105-001</t>
  </si>
  <si>
    <t>ปวส.(ช่างอิเลคทรอนิคส์)</t>
  </si>
  <si>
    <t>ค.บ. (การศึกษาปฐมวัย)</t>
  </si>
  <si>
    <t>ศศ.บ (ปฐมวัยศึกษา)</t>
  </si>
  <si>
    <t>ศศ.บ.(การศึกษาปฐมวัย)</t>
  </si>
  <si>
    <t>ศศ.บ.</t>
  </si>
  <si>
    <t xml:space="preserve">ปวช.(การบัญชี) </t>
  </si>
  <si>
    <t>นางสาวโสพิกุล   วงศ์ดี</t>
  </si>
  <si>
    <t>บธ.บ.(การบัญชี)</t>
  </si>
  <si>
    <t>21-0-04-2102-001</t>
  </si>
  <si>
    <t>(นักบริหารงานการคลัง)</t>
  </si>
  <si>
    <t>21-3-04-3201-001</t>
  </si>
  <si>
    <t>21-3-04-3204-001</t>
  </si>
  <si>
    <t>บธ.บ.(การจัดการทั่วไป)</t>
  </si>
  <si>
    <t>ปวส.(การบัญชี)</t>
  </si>
  <si>
    <t>21-3-04-4201-001</t>
  </si>
  <si>
    <t>ปวส.(การตลาด)</t>
  </si>
  <si>
    <t>21-3-04-4203-001</t>
  </si>
  <si>
    <t>21-3-04-4204-001</t>
  </si>
  <si>
    <t>21-3-04-4201-002</t>
  </si>
  <si>
    <t>นางสาวสุพัตรา   รัตนคช</t>
  </si>
  <si>
    <t>กองช่าง</t>
  </si>
  <si>
    <t>ปวช.(การบัญชี)</t>
  </si>
  <si>
    <t>หัวหน้าส่วนโยธา</t>
  </si>
  <si>
    <t>(นักบริหารงานช่าง)</t>
  </si>
  <si>
    <t>21-3-05-2103-001</t>
  </si>
  <si>
    <t>วท.บ.(ก่อสร้าง)</t>
  </si>
  <si>
    <t>นายกิตติคุณ    ชุมศรี</t>
  </si>
  <si>
    <t>อนุปริญญาวิทยาศาสตร์(ก่อสร้าง)</t>
  </si>
  <si>
    <t>21-3-05-4701-001</t>
  </si>
  <si>
    <t>21-3-05-4701-002</t>
  </si>
  <si>
    <t>นายไกรสร   เอียดเนตร</t>
  </si>
  <si>
    <t>ปวส.(อิเลคทรอนิคส์)</t>
  </si>
  <si>
    <t>21-3-05-4706-001</t>
  </si>
  <si>
    <t>21-3-05-4707-001</t>
  </si>
  <si>
    <t>21-3-05-4101-002</t>
  </si>
  <si>
    <t>นายธีระศักดิ์   วิพลชัย</t>
  </si>
  <si>
    <t xml:space="preserve">บัญชีแนบท้ายคำสั่งจัดคนลงสู่ตำแหน่งตามกรอบอัตรากำลังใหม่ </t>
  </si>
  <si>
    <t>ตามคำสั่งองค์การบริหารส่วนตบลเขาโร  ที่ 91 /2559    ลงวันที่    1 เมษายน  2559</t>
  </si>
  <si>
    <t xml:space="preserve"> 11.  บัญชีแสดงจัดคนลงสู่ตำแหน่งและการกำหนดเลขที่ตำแหน่งในส่วนราชการ</t>
  </si>
  <si>
    <t xml:space="preserve">        องค์การบริหารส่วนตำบลเขาโร   อำเภอทุ่งสง   จังหวัดนครศรีธรรมราช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</si>
</sst>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</numFmts>
  <fonts count="25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0"/>
      <name val="TH SarabunIT๙"/>
      <family val="2"/>
    </font>
    <font>
      <b/>
      <sz val="10"/>
      <name val="TH SarabunIT๙"/>
      <family val="2"/>
    </font>
    <font>
      <b/>
      <u/>
      <sz val="10"/>
      <name val="TH SarabunIT๙"/>
      <family val="2"/>
    </font>
    <font>
      <sz val="11"/>
      <color theme="1"/>
      <name val="Tahoma"/>
      <family val="2"/>
      <charset val="222"/>
      <scheme val="minor"/>
    </font>
    <font>
      <sz val="12"/>
      <name val="TH SarabunIT๙"/>
      <family val="2"/>
    </font>
    <font>
      <sz val="10"/>
      <color theme="1"/>
      <name val="TH SarabunIT๙"/>
      <family val="2"/>
    </font>
    <font>
      <b/>
      <sz val="12"/>
      <name val="TH SarabunIT๙"/>
      <family val="2"/>
    </font>
    <font>
      <sz val="11.5"/>
      <color theme="1"/>
      <name val="TH SarabunIT๙"/>
      <family val="2"/>
    </font>
    <font>
      <b/>
      <sz val="11.5"/>
      <color theme="1"/>
      <name val="TH SarabunIT๙"/>
      <family val="2"/>
    </font>
    <font>
      <b/>
      <u/>
      <sz val="11.5"/>
      <color theme="1"/>
      <name val="TH SarabunIT๙"/>
      <family val="2"/>
    </font>
    <font>
      <sz val="11.5"/>
      <name val="TH SarabunIT๙"/>
      <family val="2"/>
    </font>
    <font>
      <sz val="14"/>
      <name val="TH SarabunIT๙"/>
      <family val="2"/>
    </font>
    <font>
      <sz val="11"/>
      <color theme="1"/>
      <name val="TH SarabunIT๙"/>
      <family val="2"/>
    </font>
    <font>
      <sz val="16"/>
      <name val="TH SarabunIT๙"/>
      <family val="2"/>
    </font>
    <font>
      <sz val="16"/>
      <color theme="1"/>
      <name val="TH SarabunIT๙"/>
      <family val="2"/>
    </font>
    <font>
      <b/>
      <sz val="16"/>
      <name val="TH SarabunIT๙"/>
      <family val="2"/>
    </font>
    <font>
      <sz val="14"/>
      <color theme="1"/>
      <name val="TH SarabunIT๙"/>
      <family val="2"/>
    </font>
    <font>
      <sz val="14"/>
      <color theme="1"/>
      <name val="Tahoma"/>
      <family val="2"/>
      <charset val="222"/>
      <scheme val="minor"/>
    </font>
    <font>
      <b/>
      <u/>
      <sz val="14"/>
      <name val="TH SarabunIT๙"/>
      <family val="2"/>
    </font>
    <font>
      <b/>
      <sz val="14"/>
      <name val="TH SarabunIT๙"/>
      <family val="2"/>
    </font>
    <font>
      <sz val="13"/>
      <name val="TH SarabunIT๙"/>
      <family val="2"/>
    </font>
    <font>
      <b/>
      <sz val="14"/>
      <color theme="1"/>
      <name val="TH SarabunIT๙"/>
      <family val="2"/>
    </font>
    <font>
      <sz val="11.5"/>
      <color rgb="FFFF0000"/>
      <name val="TH SarabunIT๙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493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/>
    </xf>
    <xf numFmtId="0" fontId="2" fillId="0" borderId="5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/>
    </xf>
    <xf numFmtId="0" fontId="2" fillId="0" borderId="1" xfId="1" applyFont="1" applyBorder="1" applyAlignment="1"/>
    <xf numFmtId="0" fontId="2" fillId="0" borderId="9" xfId="1" applyFont="1" applyBorder="1" applyAlignment="1">
      <alignment vertical="center"/>
    </xf>
    <xf numFmtId="0" fontId="2" fillId="0" borderId="5" xfId="1" applyFont="1" applyBorder="1"/>
    <xf numFmtId="0" fontId="2" fillId="0" borderId="9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1" applyFont="1" applyBorder="1"/>
    <xf numFmtId="187" fontId="2" fillId="0" borderId="1" xfId="2" applyNumberFormat="1" applyFont="1" applyBorder="1"/>
    <xf numFmtId="0" fontId="2" fillId="0" borderId="1" xfId="1" quotePrefix="1" applyFont="1" applyBorder="1" applyAlignment="1">
      <alignment horizontal="center"/>
    </xf>
    <xf numFmtId="41" fontId="2" fillId="0" borderId="1" xfId="1" quotePrefix="1" applyNumberFormat="1" applyFont="1" applyBorder="1" applyAlignment="1">
      <alignment horizontal="center"/>
    </xf>
    <xf numFmtId="187" fontId="2" fillId="0" borderId="12" xfId="1" applyNumberFormat="1" applyFont="1" applyBorder="1"/>
    <xf numFmtId="0" fontId="2" fillId="0" borderId="14" xfId="1" applyFont="1" applyBorder="1"/>
    <xf numFmtId="0" fontId="2" fillId="0" borderId="5" xfId="1" applyFont="1" applyBorder="1" applyAlignment="1">
      <alignment horizontal="center"/>
    </xf>
    <xf numFmtId="187" fontId="2" fillId="0" borderId="5" xfId="2" applyNumberFormat="1" applyFont="1" applyBorder="1"/>
    <xf numFmtId="0" fontId="2" fillId="0" borderId="5" xfId="1" quotePrefix="1" applyFont="1" applyBorder="1" applyAlignment="1">
      <alignment horizontal="center"/>
    </xf>
    <xf numFmtId="41" fontId="2" fillId="0" borderId="5" xfId="1" quotePrefix="1" applyNumberFormat="1" applyFont="1" applyBorder="1" applyAlignment="1">
      <alignment horizontal="center"/>
    </xf>
    <xf numFmtId="187" fontId="2" fillId="0" borderId="10" xfId="1" applyNumberFormat="1" applyFont="1" applyBorder="1"/>
    <xf numFmtId="0" fontId="2" fillId="0" borderId="10" xfId="1" applyFont="1" applyBorder="1"/>
    <xf numFmtId="0" fontId="2" fillId="0" borderId="10" xfId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187" fontId="2" fillId="0" borderId="10" xfId="2" applyNumberFormat="1" applyFont="1" applyBorder="1"/>
    <xf numFmtId="0" fontId="2" fillId="0" borderId="10" xfId="1" quotePrefix="1" applyFont="1" applyBorder="1" applyAlignment="1">
      <alignment horizontal="center"/>
    </xf>
    <xf numFmtId="41" fontId="2" fillId="0" borderId="10" xfId="1" quotePrefix="1" applyNumberFormat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2" fillId="0" borderId="14" xfId="1" quotePrefix="1" applyFont="1" applyBorder="1" applyAlignment="1">
      <alignment horizontal="center"/>
    </xf>
    <xf numFmtId="41" fontId="2" fillId="0" borderId="14" xfId="1" quotePrefix="1" applyNumberFormat="1" applyFont="1" applyBorder="1" applyAlignment="1">
      <alignment horizontal="center"/>
    </xf>
    <xf numFmtId="0" fontId="2" fillId="0" borderId="13" xfId="1" applyFont="1" applyBorder="1"/>
    <xf numFmtId="0" fontId="2" fillId="0" borderId="9" xfId="1" applyFont="1" applyBorder="1"/>
    <xf numFmtId="0" fontId="4" fillId="0" borderId="1" xfId="1" applyFont="1" applyBorder="1" applyAlignment="1">
      <alignment horizontal="center"/>
    </xf>
    <xf numFmtId="187" fontId="2" fillId="0" borderId="1" xfId="1" applyNumberFormat="1" applyFont="1" applyBorder="1"/>
    <xf numFmtId="0" fontId="4" fillId="0" borderId="14" xfId="1" applyFont="1" applyBorder="1" applyAlignment="1">
      <alignment horizontal="center"/>
    </xf>
    <xf numFmtId="187" fontId="2" fillId="0" borderId="14" xfId="2" applyNumberFormat="1" applyFont="1" applyBorder="1"/>
    <xf numFmtId="187" fontId="2" fillId="0" borderId="14" xfId="1" applyNumberFormat="1" applyFont="1" applyBorder="1"/>
    <xf numFmtId="187" fontId="2" fillId="0" borderId="10" xfId="2" applyNumberFormat="1" applyFont="1" applyBorder="1" applyAlignment="1">
      <alignment horizontal="center"/>
    </xf>
    <xf numFmtId="187" fontId="2" fillId="0" borderId="10" xfId="2" applyNumberFormat="1" applyFont="1" applyBorder="1" applyAlignment="1"/>
    <xf numFmtId="187" fontId="2" fillId="0" borderId="10" xfId="2" quotePrefix="1" applyNumberFormat="1" applyFont="1" applyBorder="1" applyAlignment="1"/>
    <xf numFmtId="187" fontId="2" fillId="0" borderId="10" xfId="2" quotePrefix="1" applyNumberFormat="1" applyFont="1" applyBorder="1" applyAlignment="1">
      <alignment horizontal="right"/>
    </xf>
    <xf numFmtId="187" fontId="2" fillId="0" borderId="10" xfId="2" quotePrefix="1" applyNumberFormat="1" applyFont="1" applyBorder="1" applyAlignment="1">
      <alignment horizontal="center"/>
    </xf>
    <xf numFmtId="0" fontId="2" fillId="0" borderId="10" xfId="1" applyFont="1" applyBorder="1" applyAlignment="1"/>
    <xf numFmtId="0" fontId="2" fillId="0" borderId="16" xfId="1" applyFont="1" applyBorder="1" applyAlignment="1">
      <alignment horizontal="center"/>
    </xf>
    <xf numFmtId="0" fontId="2" fillId="0" borderId="16" xfId="1" applyFont="1" applyBorder="1"/>
    <xf numFmtId="187" fontId="2" fillId="0" borderId="16" xfId="2" applyNumberFormat="1" applyFont="1" applyBorder="1"/>
    <xf numFmtId="0" fontId="2" fillId="0" borderId="16" xfId="1" quotePrefix="1" applyFont="1" applyBorder="1" applyAlignment="1">
      <alignment horizontal="center"/>
    </xf>
    <xf numFmtId="41" fontId="2" fillId="0" borderId="16" xfId="1" quotePrefix="1" applyNumberFormat="1" applyFont="1" applyBorder="1" applyAlignment="1">
      <alignment horizontal="center"/>
    </xf>
    <xf numFmtId="0" fontId="2" fillId="0" borderId="17" xfId="1" applyFont="1" applyBorder="1"/>
    <xf numFmtId="0" fontId="2" fillId="0" borderId="13" xfId="1" applyFont="1" applyBorder="1" applyAlignment="1">
      <alignment horizontal="center"/>
    </xf>
    <xf numFmtId="41" fontId="2" fillId="0" borderId="13" xfId="1" applyNumberFormat="1" applyFont="1" applyBorder="1" applyAlignment="1">
      <alignment horizontal="center"/>
    </xf>
    <xf numFmtId="187" fontId="2" fillId="0" borderId="13" xfId="2" applyNumberFormat="1" applyFont="1" applyBorder="1"/>
    <xf numFmtId="0" fontId="2" fillId="0" borderId="13" xfId="1" quotePrefix="1" applyFont="1" applyBorder="1" applyAlignment="1">
      <alignment horizontal="center"/>
    </xf>
    <xf numFmtId="41" fontId="2" fillId="0" borderId="13" xfId="1" quotePrefix="1" applyNumberFormat="1" applyFont="1" applyBorder="1" applyAlignment="1">
      <alignment horizontal="center"/>
    </xf>
    <xf numFmtId="187" fontId="2" fillId="0" borderId="13" xfId="1" applyNumberFormat="1" applyFont="1" applyBorder="1"/>
    <xf numFmtId="187" fontId="2" fillId="0" borderId="14" xfId="2" applyNumberFormat="1" applyFont="1" applyBorder="1" applyAlignment="1">
      <alignment horizontal="center"/>
    </xf>
    <xf numFmtId="0" fontId="2" fillId="0" borderId="10" xfId="1" applyFont="1" applyBorder="1" applyAlignment="1">
      <alignment horizontal="left"/>
    </xf>
    <xf numFmtId="0" fontId="2" fillId="0" borderId="11" xfId="1" quotePrefix="1" applyFont="1" applyBorder="1"/>
    <xf numFmtId="0" fontId="3" fillId="0" borderId="11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187" fontId="2" fillId="0" borderId="11" xfId="2" applyNumberFormat="1" applyFont="1" applyBorder="1" applyAlignment="1">
      <alignment horizontal="center"/>
    </xf>
    <xf numFmtId="0" fontId="2" fillId="0" borderId="11" xfId="1" quotePrefix="1" applyFont="1" applyBorder="1" applyAlignment="1">
      <alignment horizontal="center"/>
    </xf>
    <xf numFmtId="187" fontId="2" fillId="0" borderId="11" xfId="1" applyNumberFormat="1" applyFont="1" applyBorder="1"/>
    <xf numFmtId="0" fontId="2" fillId="0" borderId="11" xfId="1" applyFont="1" applyBorder="1"/>
    <xf numFmtId="43" fontId="2" fillId="0" borderId="11" xfId="1" applyNumberFormat="1" applyFont="1" applyBorder="1"/>
    <xf numFmtId="0" fontId="2" fillId="0" borderId="22" xfId="1" applyFont="1" applyBorder="1" applyAlignment="1">
      <alignment horizontal="center"/>
    </xf>
    <xf numFmtId="0" fontId="4" fillId="0" borderId="22" xfId="1" applyFont="1" applyBorder="1" applyAlignment="1">
      <alignment horizontal="center"/>
    </xf>
    <xf numFmtId="0" fontId="2" fillId="0" borderId="22" xfId="1" quotePrefix="1" applyFont="1" applyBorder="1" applyAlignment="1">
      <alignment horizontal="center"/>
    </xf>
    <xf numFmtId="187" fontId="2" fillId="0" borderId="22" xfId="2" applyNumberFormat="1" applyFont="1" applyBorder="1"/>
    <xf numFmtId="187" fontId="2" fillId="0" borderId="22" xfId="1" applyNumberFormat="1" applyFont="1" applyBorder="1"/>
    <xf numFmtId="0" fontId="2" fillId="0" borderId="1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2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187" fontId="2" fillId="0" borderId="5" xfId="2" applyNumberFormat="1" applyFont="1" applyBorder="1" applyAlignment="1">
      <alignment horizontal="center"/>
    </xf>
    <xf numFmtId="0" fontId="2" fillId="0" borderId="21" xfId="1" applyFont="1" applyBorder="1" applyAlignment="1">
      <alignment horizontal="center"/>
    </xf>
    <xf numFmtId="0" fontId="2" fillId="0" borderId="21" xfId="1" applyFont="1" applyBorder="1"/>
    <xf numFmtId="187" fontId="2" fillId="0" borderId="21" xfId="2" quotePrefix="1" applyNumberFormat="1" applyFont="1" applyBorder="1" applyAlignment="1">
      <alignment horizontal="center"/>
    </xf>
    <xf numFmtId="187" fontId="2" fillId="0" borderId="21" xfId="2" applyNumberFormat="1" applyFont="1" applyBorder="1"/>
    <xf numFmtId="41" fontId="2" fillId="0" borderId="21" xfId="1" quotePrefix="1" applyNumberFormat="1" applyFont="1" applyBorder="1" applyAlignment="1">
      <alignment horizontal="center"/>
    </xf>
    <xf numFmtId="187" fontId="2" fillId="0" borderId="21" xfId="1" applyNumberFormat="1" applyFont="1" applyBorder="1"/>
    <xf numFmtId="0" fontId="2" fillId="0" borderId="4" xfId="1" applyFont="1" applyBorder="1"/>
    <xf numFmtId="187" fontId="2" fillId="0" borderId="4" xfId="2" quotePrefix="1" applyNumberFormat="1" applyFont="1" applyBorder="1" applyAlignment="1">
      <alignment horizontal="center"/>
    </xf>
    <xf numFmtId="187" fontId="2" fillId="0" borderId="4" xfId="2" applyNumberFormat="1" applyFont="1" applyBorder="1"/>
    <xf numFmtId="41" fontId="2" fillId="0" borderId="4" xfId="1" quotePrefix="1" applyNumberFormat="1" applyFont="1" applyBorder="1" applyAlignment="1">
      <alignment horizontal="center"/>
    </xf>
    <xf numFmtId="187" fontId="2" fillId="0" borderId="4" xfId="1" applyNumberFormat="1" applyFont="1" applyBorder="1"/>
    <xf numFmtId="0" fontId="2" fillId="0" borderId="0" xfId="1" applyFont="1" applyBorder="1" applyAlignment="1">
      <alignment horizontal="center"/>
    </xf>
    <xf numFmtId="0" fontId="2" fillId="0" borderId="0" xfId="1" applyFont="1" applyBorder="1"/>
    <xf numFmtId="187" fontId="2" fillId="0" borderId="0" xfId="2" quotePrefix="1" applyNumberFormat="1" applyFont="1" applyBorder="1" applyAlignment="1">
      <alignment horizontal="center"/>
    </xf>
    <xf numFmtId="187" fontId="2" fillId="0" borderId="0" xfId="2" applyNumberFormat="1" applyFont="1" applyBorder="1"/>
    <xf numFmtId="41" fontId="2" fillId="0" borderId="0" xfId="1" quotePrefix="1" applyNumberFormat="1" applyFont="1" applyBorder="1" applyAlignment="1">
      <alignment horizontal="center"/>
    </xf>
    <xf numFmtId="187" fontId="2" fillId="0" borderId="0" xfId="1" applyNumberFormat="1" applyFont="1" applyBorder="1"/>
    <xf numFmtId="187" fontId="2" fillId="0" borderId="0" xfId="2" applyNumberFormat="1" applyFont="1" applyBorder="1" applyAlignment="1">
      <alignment horizontal="center"/>
    </xf>
    <xf numFmtId="187" fontId="2" fillId="0" borderId="4" xfId="2" applyNumberFormat="1" applyFont="1" applyBorder="1" applyAlignment="1">
      <alignment horizontal="center"/>
    </xf>
    <xf numFmtId="0" fontId="2" fillId="0" borderId="4" xfId="1" quotePrefix="1" applyFont="1" applyBorder="1" applyAlignment="1">
      <alignment horizontal="center"/>
    </xf>
    <xf numFmtId="0" fontId="2" fillId="0" borderId="0" xfId="1" quotePrefix="1" applyFont="1" applyBorder="1" applyAlignment="1">
      <alignment horizontal="center"/>
    </xf>
    <xf numFmtId="0" fontId="7" fillId="0" borderId="14" xfId="0" applyFont="1" applyBorder="1"/>
    <xf numFmtId="0" fontId="7" fillId="0" borderId="10" xfId="0" applyFont="1" applyBorder="1"/>
    <xf numFmtId="0" fontId="6" fillId="0" borderId="0" xfId="1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9" fillId="0" borderId="5" xfId="0" applyFont="1" applyBorder="1" applyAlignment="1">
      <alignment horizontal="center"/>
    </xf>
    <xf numFmtId="0" fontId="9" fillId="0" borderId="9" xfId="0" applyFont="1" applyBorder="1"/>
    <xf numFmtId="0" fontId="9" fillId="0" borderId="9" xfId="0" applyFont="1" applyBorder="1" applyAlignment="1">
      <alignment horizontal="center"/>
    </xf>
    <xf numFmtId="0" fontId="9" fillId="0" borderId="9" xfId="0" applyFont="1" applyBorder="1" applyAlignment="1">
      <alignment vertical="center"/>
    </xf>
    <xf numFmtId="187" fontId="9" fillId="0" borderId="1" xfId="3" applyNumberFormat="1" applyFont="1" applyBorder="1"/>
    <xf numFmtId="187" fontId="9" fillId="0" borderId="1" xfId="0" applyNumberFormat="1" applyFont="1" applyBorder="1"/>
    <xf numFmtId="0" fontId="9" fillId="0" borderId="5" xfId="0" applyFont="1" applyBorder="1"/>
    <xf numFmtId="187" fontId="9" fillId="0" borderId="5" xfId="3" applyNumberFormat="1" applyFont="1" applyBorder="1"/>
    <xf numFmtId="0" fontId="9" fillId="0" borderId="13" xfId="0" applyFont="1" applyBorder="1"/>
    <xf numFmtId="0" fontId="9" fillId="0" borderId="13" xfId="0" applyFont="1" applyBorder="1" applyAlignment="1">
      <alignment horizontal="center"/>
    </xf>
    <xf numFmtId="187" fontId="9" fillId="0" borderId="13" xfId="3" applyNumberFormat="1" applyFont="1" applyBorder="1"/>
    <xf numFmtId="187" fontId="9" fillId="0" borderId="13" xfId="0" applyNumberFormat="1" applyFont="1" applyBorder="1"/>
    <xf numFmtId="0" fontId="9" fillId="0" borderId="17" xfId="0" applyFont="1" applyBorder="1"/>
    <xf numFmtId="0" fontId="9" fillId="0" borderId="17" xfId="0" applyFont="1" applyBorder="1" applyAlignment="1">
      <alignment horizontal="center"/>
    </xf>
    <xf numFmtId="187" fontId="9" fillId="0" borderId="17" xfId="3" applyNumberFormat="1" applyFont="1" applyBorder="1"/>
    <xf numFmtId="0" fontId="11" fillId="0" borderId="5" xfId="0" applyFont="1" applyBorder="1"/>
    <xf numFmtId="187" fontId="9" fillId="0" borderId="5" xfId="0" applyNumberFormat="1" applyFont="1" applyBorder="1"/>
    <xf numFmtId="0" fontId="9" fillId="0" borderId="10" xfId="0" applyFont="1" applyBorder="1"/>
    <xf numFmtId="0" fontId="9" fillId="0" borderId="10" xfId="0" applyFont="1" applyBorder="1" applyAlignment="1">
      <alignment horizontal="center"/>
    </xf>
    <xf numFmtId="187" fontId="9" fillId="0" borderId="10" xfId="3" applyNumberFormat="1" applyFont="1" applyBorder="1"/>
    <xf numFmtId="187" fontId="12" fillId="0" borderId="10" xfId="2" applyNumberFormat="1" applyFont="1" applyBorder="1"/>
    <xf numFmtId="14" fontId="9" fillId="0" borderId="10" xfId="0" quotePrefix="1" applyNumberFormat="1" applyFont="1" applyBorder="1" applyAlignment="1">
      <alignment horizontal="center"/>
    </xf>
    <xf numFmtId="0" fontId="9" fillId="0" borderId="10" xfId="0" quotePrefix="1" applyFont="1" applyBorder="1" applyAlignment="1">
      <alignment horizontal="center"/>
    </xf>
    <xf numFmtId="0" fontId="9" fillId="0" borderId="21" xfId="0" applyFont="1" applyBorder="1"/>
    <xf numFmtId="0" fontId="9" fillId="0" borderId="8" xfId="0" applyFont="1" applyBorder="1"/>
    <xf numFmtId="0" fontId="9" fillId="0" borderId="0" xfId="0" applyFont="1" applyBorder="1"/>
    <xf numFmtId="0" fontId="9" fillId="0" borderId="8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14" xfId="0" applyFont="1" applyBorder="1"/>
    <xf numFmtId="0" fontId="9" fillId="0" borderId="14" xfId="0" applyFont="1" applyBorder="1" applyAlignment="1">
      <alignment horizontal="center"/>
    </xf>
    <xf numFmtId="187" fontId="9" fillId="0" borderId="14" xfId="3" applyNumberFormat="1" applyFont="1" applyBorder="1"/>
    <xf numFmtId="0" fontId="9" fillId="0" borderId="16" xfId="0" applyFont="1" applyBorder="1"/>
    <xf numFmtId="0" fontId="9" fillId="0" borderId="16" xfId="0" applyFont="1" applyBorder="1" applyAlignment="1">
      <alignment horizontal="center"/>
    </xf>
    <xf numFmtId="187" fontId="9" fillId="0" borderId="16" xfId="3" applyNumberFormat="1" applyFont="1" applyBorder="1"/>
    <xf numFmtId="187" fontId="9" fillId="0" borderId="10" xfId="0" applyNumberFormat="1" applyFont="1" applyBorder="1"/>
    <xf numFmtId="0" fontId="9" fillId="0" borderId="21" xfId="0" applyFont="1" applyBorder="1" applyAlignment="1">
      <alignment horizontal="center"/>
    </xf>
    <xf numFmtId="187" fontId="9" fillId="0" borderId="21" xfId="3" applyNumberFormat="1" applyFont="1" applyBorder="1"/>
    <xf numFmtId="187" fontId="9" fillId="0" borderId="21" xfId="0" applyNumberFormat="1" applyFont="1" applyBorder="1"/>
    <xf numFmtId="187" fontId="9" fillId="0" borderId="0" xfId="3" applyNumberFormat="1" applyFont="1" applyBorder="1"/>
    <xf numFmtId="187" fontId="9" fillId="0" borderId="0" xfId="0" applyNumberFormat="1" applyFont="1" applyBorder="1"/>
    <xf numFmtId="187" fontId="12" fillId="0" borderId="14" xfId="2" applyNumberFormat="1" applyFont="1" applyBorder="1"/>
    <xf numFmtId="0" fontId="11" fillId="0" borderId="5" xfId="0" applyFont="1" applyBorder="1" applyAlignment="1">
      <alignment horizontal="center"/>
    </xf>
    <xf numFmtId="187" fontId="12" fillId="0" borderId="5" xfId="2" applyNumberFormat="1" applyFont="1" applyBorder="1"/>
    <xf numFmtId="0" fontId="11" fillId="0" borderId="9" xfId="0" applyFont="1" applyBorder="1" applyAlignment="1">
      <alignment horizontal="center"/>
    </xf>
    <xf numFmtId="187" fontId="9" fillId="0" borderId="9" xfId="3" applyNumberFormat="1" applyFont="1" applyBorder="1" applyAlignment="1">
      <alignment horizontal="center"/>
    </xf>
    <xf numFmtId="187" fontId="9" fillId="0" borderId="9" xfId="3" applyNumberFormat="1" applyFont="1" applyBorder="1"/>
    <xf numFmtId="0" fontId="11" fillId="0" borderId="0" xfId="0" applyFont="1" applyBorder="1" applyAlignment="1">
      <alignment horizontal="center"/>
    </xf>
    <xf numFmtId="187" fontId="9" fillId="0" borderId="0" xfId="3" applyNumberFormat="1" applyFont="1" applyBorder="1" applyAlignment="1">
      <alignment horizontal="center"/>
    </xf>
    <xf numFmtId="41" fontId="9" fillId="0" borderId="5" xfId="0" applyNumberFormat="1" applyFont="1" applyBorder="1"/>
    <xf numFmtId="187" fontId="12" fillId="0" borderId="21" xfId="2" applyNumberFormat="1" applyFont="1" applyBorder="1"/>
    <xf numFmtId="0" fontId="9" fillId="0" borderId="0" xfId="0" applyFont="1" applyAlignment="1">
      <alignment horizontal="center"/>
    </xf>
    <xf numFmtId="0" fontId="9" fillId="0" borderId="4" xfId="0" applyFont="1" applyBorder="1"/>
    <xf numFmtId="187" fontId="12" fillId="0" borderId="4" xfId="2" applyNumberFormat="1" applyFont="1" applyBorder="1"/>
    <xf numFmtId="0" fontId="15" fillId="0" borderId="0" xfId="1" applyFont="1"/>
    <xf numFmtId="0" fontId="16" fillId="0" borderId="0" xfId="0" applyFont="1"/>
    <xf numFmtId="0" fontId="15" fillId="0" borderId="0" xfId="0" applyFont="1"/>
    <xf numFmtId="0" fontId="13" fillId="0" borderId="1" xfId="1" applyFont="1" applyBorder="1" applyAlignment="1">
      <alignment horizontal="center"/>
    </xf>
    <xf numFmtId="0" fontId="19" fillId="0" borderId="0" xfId="0" applyFont="1"/>
    <xf numFmtId="0" fontId="13" fillId="0" borderId="5" xfId="1" applyFont="1" applyBorder="1" applyAlignment="1"/>
    <xf numFmtId="0" fontId="13" fillId="0" borderId="9" xfId="1" applyFont="1" applyBorder="1" applyAlignment="1">
      <alignment horizontal="center"/>
    </xf>
    <xf numFmtId="0" fontId="13" fillId="0" borderId="1" xfId="1" applyFont="1" applyBorder="1"/>
    <xf numFmtId="0" fontId="13" fillId="0" borderId="1" xfId="1" quotePrefix="1" applyFont="1" applyBorder="1" applyAlignment="1">
      <alignment horizontal="center"/>
    </xf>
    <xf numFmtId="41" fontId="13" fillId="0" borderId="1" xfId="1" quotePrefix="1" applyNumberFormat="1" applyFont="1" applyBorder="1" applyAlignment="1">
      <alignment horizontal="center"/>
    </xf>
    <xf numFmtId="0" fontId="13" fillId="0" borderId="5" xfId="1" applyFont="1" applyBorder="1" applyAlignment="1">
      <alignment horizontal="center"/>
    </xf>
    <xf numFmtId="0" fontId="13" fillId="0" borderId="5" xfId="1" applyFont="1" applyBorder="1"/>
    <xf numFmtId="0" fontId="13" fillId="0" borderId="5" xfId="1" quotePrefix="1" applyFont="1" applyBorder="1" applyAlignment="1">
      <alignment horizontal="center"/>
    </xf>
    <xf numFmtId="41" fontId="13" fillId="0" borderId="5" xfId="1" quotePrefix="1" applyNumberFormat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0" fontId="13" fillId="0" borderId="10" xfId="1" quotePrefix="1" applyFont="1" applyBorder="1" applyAlignment="1">
      <alignment horizontal="center"/>
    </xf>
    <xf numFmtId="0" fontId="13" fillId="0" borderId="10" xfId="1" applyFont="1" applyBorder="1"/>
    <xf numFmtId="41" fontId="13" fillId="0" borderId="10" xfId="1" quotePrefix="1" applyNumberFormat="1" applyFont="1" applyBorder="1" applyAlignment="1">
      <alignment horizontal="center"/>
    </xf>
    <xf numFmtId="0" fontId="13" fillId="0" borderId="14" xfId="1" quotePrefix="1" applyFont="1" applyBorder="1" applyAlignment="1">
      <alignment horizontal="center"/>
    </xf>
    <xf numFmtId="41" fontId="13" fillId="0" borderId="14" xfId="1" quotePrefix="1" applyNumberFormat="1" applyFont="1" applyBorder="1" applyAlignment="1">
      <alignment horizontal="center"/>
    </xf>
    <xf numFmtId="0" fontId="20" fillId="0" borderId="1" xfId="1" applyFont="1" applyBorder="1" applyAlignment="1">
      <alignment horizontal="center"/>
    </xf>
    <xf numFmtId="0" fontId="13" fillId="0" borderId="14" xfId="1" applyFont="1" applyBorder="1" applyAlignment="1">
      <alignment horizontal="center"/>
    </xf>
    <xf numFmtId="187" fontId="13" fillId="0" borderId="10" xfId="2" quotePrefix="1" applyNumberFormat="1" applyFont="1" applyBorder="1" applyAlignment="1">
      <alignment horizontal="right"/>
    </xf>
    <xf numFmtId="187" fontId="13" fillId="0" borderId="10" xfId="2" applyNumberFormat="1" applyFont="1" applyBorder="1"/>
    <xf numFmtId="187" fontId="13" fillId="0" borderId="10" xfId="2" quotePrefix="1" applyNumberFormat="1" applyFont="1" applyBorder="1" applyAlignment="1">
      <alignment horizontal="center"/>
    </xf>
    <xf numFmtId="0" fontId="13" fillId="0" borderId="21" xfId="1" applyFont="1" applyBorder="1" applyAlignment="1">
      <alignment horizontal="center"/>
    </xf>
    <xf numFmtId="0" fontId="13" fillId="0" borderId="21" xfId="1" applyFont="1" applyBorder="1"/>
    <xf numFmtId="41" fontId="13" fillId="0" borderId="21" xfId="1" quotePrefix="1" applyNumberFormat="1" applyFont="1" applyBorder="1" applyAlignment="1">
      <alignment horizontal="center"/>
    </xf>
    <xf numFmtId="0" fontId="13" fillId="0" borderId="11" xfId="1" applyFont="1" applyBorder="1" applyAlignment="1">
      <alignment horizontal="center"/>
    </xf>
    <xf numFmtId="0" fontId="13" fillId="0" borderId="13" xfId="1" applyFont="1" applyBorder="1"/>
    <xf numFmtId="0" fontId="13" fillId="0" borderId="13" xfId="1" quotePrefix="1" applyFont="1" applyBorder="1" applyAlignment="1">
      <alignment horizontal="center"/>
    </xf>
    <xf numFmtId="41" fontId="13" fillId="0" borderId="13" xfId="1" quotePrefix="1" applyNumberFormat="1" applyFont="1" applyBorder="1" applyAlignment="1">
      <alignment horizontal="center"/>
    </xf>
    <xf numFmtId="0" fontId="13" fillId="0" borderId="13" xfId="1" applyFont="1" applyBorder="1" applyAlignment="1">
      <alignment horizontal="center"/>
    </xf>
    <xf numFmtId="0" fontId="13" fillId="0" borderId="10" xfId="1" applyFont="1" applyBorder="1" applyAlignment="1">
      <alignment horizontal="left"/>
    </xf>
    <xf numFmtId="0" fontId="13" fillId="0" borderId="11" xfId="1" quotePrefix="1" applyFont="1" applyBorder="1" applyAlignment="1">
      <alignment horizontal="center"/>
    </xf>
    <xf numFmtId="0" fontId="13" fillId="0" borderId="0" xfId="1" applyFont="1"/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10" xfId="1" quotePrefix="1" applyNumberFormat="1" applyFont="1" applyBorder="1" applyAlignment="1">
      <alignment horizontal="center"/>
    </xf>
    <xf numFmtId="0" fontId="13" fillId="0" borderId="10" xfId="1" applyNumberFormat="1" applyFont="1" applyBorder="1" applyAlignment="1">
      <alignment horizontal="center"/>
    </xf>
    <xf numFmtId="0" fontId="13" fillId="0" borderId="5" xfId="1" applyFont="1" applyBorder="1" applyAlignment="1">
      <alignment vertical="center"/>
    </xf>
    <xf numFmtId="0" fontId="13" fillId="0" borderId="13" xfId="1" applyNumberFormat="1" applyFont="1" applyBorder="1" applyAlignment="1">
      <alignment horizontal="center"/>
    </xf>
    <xf numFmtId="0" fontId="13" fillId="0" borderId="5" xfId="1" quotePrefix="1" applyNumberFormat="1" applyFont="1" applyBorder="1" applyAlignment="1">
      <alignment horizontal="center"/>
    </xf>
    <xf numFmtId="41" fontId="13" fillId="0" borderId="11" xfId="1" quotePrefix="1" applyNumberFormat="1" applyFont="1" applyBorder="1" applyAlignment="1">
      <alignment horizontal="center"/>
    </xf>
    <xf numFmtId="0" fontId="13" fillId="0" borderId="10" xfId="2" quotePrefix="1" applyNumberFormat="1" applyFont="1" applyBorder="1" applyAlignment="1">
      <alignment horizontal="center"/>
    </xf>
    <xf numFmtId="0" fontId="13" fillId="0" borderId="10" xfId="2" applyNumberFormat="1" applyFont="1" applyBorder="1" applyAlignment="1">
      <alignment horizontal="center"/>
    </xf>
    <xf numFmtId="0" fontId="13" fillId="0" borderId="14" xfId="1" applyFont="1" applyBorder="1"/>
    <xf numFmtId="0" fontId="13" fillId="0" borderId="14" xfId="2" applyNumberFormat="1" applyFont="1" applyBorder="1" applyAlignment="1">
      <alignment horizontal="center"/>
    </xf>
    <xf numFmtId="0" fontId="13" fillId="0" borderId="14" xfId="2" quotePrefix="1" applyNumberFormat="1" applyFont="1" applyBorder="1" applyAlignment="1">
      <alignment horizontal="center"/>
    </xf>
    <xf numFmtId="187" fontId="13" fillId="0" borderId="14" xfId="2" quotePrefix="1" applyNumberFormat="1" applyFont="1" applyBorder="1" applyAlignment="1">
      <alignment horizontal="center"/>
    </xf>
    <xf numFmtId="0" fontId="19" fillId="0" borderId="0" xfId="0" applyFont="1" applyBorder="1"/>
    <xf numFmtId="0" fontId="13" fillId="0" borderId="23" xfId="1" applyFont="1" applyBorder="1" applyAlignment="1">
      <alignment horizontal="center"/>
    </xf>
    <xf numFmtId="0" fontId="20" fillId="0" borderId="23" xfId="1" applyFont="1" applyBorder="1" applyAlignment="1">
      <alignment horizontal="center"/>
    </xf>
    <xf numFmtId="0" fontId="13" fillId="0" borderId="23" xfId="1" quotePrefix="1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20" fillId="0" borderId="13" xfId="1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3" fillId="0" borderId="21" xfId="1" quotePrefix="1" applyNumberFormat="1" applyFont="1" applyBorder="1" applyAlignment="1">
      <alignment horizontal="center"/>
    </xf>
    <xf numFmtId="0" fontId="13" fillId="0" borderId="21" xfId="1" quotePrefix="1" applyFont="1" applyBorder="1" applyAlignment="1">
      <alignment horizontal="center"/>
    </xf>
    <xf numFmtId="0" fontId="18" fillId="0" borderId="5" xfId="0" applyFont="1" applyBorder="1" applyAlignment="1">
      <alignment horizontal="center" vertical="center"/>
    </xf>
    <xf numFmtId="0" fontId="20" fillId="0" borderId="5" xfId="1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187" fontId="13" fillId="0" borderId="5" xfId="2" applyNumberFormat="1" applyFont="1" applyBorder="1"/>
    <xf numFmtId="187" fontId="13" fillId="0" borderId="5" xfId="2" quotePrefix="1" applyNumberFormat="1" applyFont="1" applyBorder="1" applyAlignment="1">
      <alignment horizontal="center"/>
    </xf>
    <xf numFmtId="0" fontId="13" fillId="0" borderId="14" xfId="1" applyFont="1" applyBorder="1" applyAlignment="1"/>
    <xf numFmtId="187" fontId="13" fillId="0" borderId="14" xfId="2" quotePrefix="1" applyNumberFormat="1" applyFont="1" applyBorder="1" applyAlignment="1">
      <alignment horizontal="right"/>
    </xf>
    <xf numFmtId="0" fontId="13" fillId="0" borderId="21" xfId="2" applyNumberFormat="1" applyFont="1" applyBorder="1" applyAlignment="1">
      <alignment horizontal="center"/>
    </xf>
    <xf numFmtId="0" fontId="13" fillId="0" borderId="21" xfId="2" quotePrefix="1" applyNumberFormat="1" applyFont="1" applyBorder="1" applyAlignment="1">
      <alignment horizontal="center"/>
    </xf>
    <xf numFmtId="187" fontId="13" fillId="0" borderId="21" xfId="2" quotePrefix="1" applyNumberFormat="1" applyFont="1" applyBorder="1" applyAlignment="1">
      <alignment horizontal="right"/>
    </xf>
    <xf numFmtId="0" fontId="22" fillId="0" borderId="1" xfId="1" applyFont="1" applyBorder="1" applyAlignment="1">
      <alignment horizontal="center"/>
    </xf>
    <xf numFmtId="0" fontId="22" fillId="0" borderId="5" xfId="1" applyFont="1" applyBorder="1" applyAlignment="1">
      <alignment horizontal="center"/>
    </xf>
    <xf numFmtId="0" fontId="22" fillId="0" borderId="9" xfId="1" applyFont="1" applyBorder="1" applyAlignment="1">
      <alignment horizontal="center"/>
    </xf>
    <xf numFmtId="0" fontId="13" fillId="0" borderId="11" xfId="1" quotePrefix="1" applyNumberFormat="1" applyFont="1" applyBorder="1" applyAlignment="1">
      <alignment horizontal="center"/>
    </xf>
    <xf numFmtId="0" fontId="18" fillId="0" borderId="4" xfId="0" applyFont="1" applyBorder="1" applyAlignment="1">
      <alignment horizontal="right" textRotation="180"/>
    </xf>
    <xf numFmtId="187" fontId="18" fillId="0" borderId="0" xfId="0" applyNumberFormat="1" applyFont="1" applyBorder="1" applyAlignment="1">
      <alignment horizontal="right" vertical="top" textRotation="180"/>
    </xf>
    <xf numFmtId="0" fontId="18" fillId="0" borderId="0" xfId="0" applyFont="1" applyBorder="1" applyAlignment="1">
      <alignment horizontal="right" textRotation="180"/>
    </xf>
    <xf numFmtId="0" fontId="18" fillId="0" borderId="0" xfId="0" applyFont="1" applyAlignment="1">
      <alignment horizontal="right" textRotation="180"/>
    </xf>
    <xf numFmtId="0" fontId="13" fillId="0" borderId="8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13" fillId="0" borderId="0" xfId="1" applyFont="1" applyBorder="1" applyAlignment="1">
      <alignment horizontal="center"/>
    </xf>
    <xf numFmtId="0" fontId="13" fillId="0" borderId="0" xfId="1" applyFont="1" applyBorder="1"/>
    <xf numFmtId="0" fontId="13" fillId="0" borderId="0" xfId="2" applyNumberFormat="1" applyFont="1" applyBorder="1" applyAlignment="1">
      <alignment horizontal="center"/>
    </xf>
    <xf numFmtId="0" fontId="13" fillId="0" borderId="0" xfId="2" quotePrefix="1" applyNumberFormat="1" applyFont="1" applyBorder="1" applyAlignment="1">
      <alignment horizontal="center"/>
    </xf>
    <xf numFmtId="187" fontId="13" fillId="0" borderId="0" xfId="2" quotePrefix="1" applyNumberFormat="1" applyFont="1" applyBorder="1" applyAlignment="1">
      <alignment horizontal="right"/>
    </xf>
    <xf numFmtId="0" fontId="18" fillId="0" borderId="0" xfId="0" applyFont="1" applyBorder="1" applyAlignment="1">
      <alignment horizontal="center"/>
    </xf>
    <xf numFmtId="41" fontId="13" fillId="0" borderId="5" xfId="1" quotePrefix="1" applyNumberFormat="1" applyFont="1" applyBorder="1" applyAlignment="1"/>
    <xf numFmtId="0" fontId="20" fillId="0" borderId="0" xfId="1" applyFont="1" applyBorder="1" applyAlignment="1">
      <alignment horizontal="center"/>
    </xf>
    <xf numFmtId="187" fontId="13" fillId="0" borderId="13" xfId="2" quotePrefix="1" applyNumberFormat="1" applyFont="1" applyBorder="1" applyAlignment="1">
      <alignment horizontal="center"/>
    </xf>
    <xf numFmtId="0" fontId="13" fillId="0" borderId="8" xfId="1" applyFont="1" applyBorder="1"/>
    <xf numFmtId="0" fontId="13" fillId="0" borderId="8" xfId="2" applyNumberFormat="1" applyFont="1" applyBorder="1" applyAlignment="1">
      <alignment horizontal="center"/>
    </xf>
    <xf numFmtId="0" fontId="13" fillId="0" borderId="8" xfId="2" quotePrefix="1" applyNumberFormat="1" applyFont="1" applyBorder="1" applyAlignment="1">
      <alignment horizontal="center"/>
    </xf>
    <xf numFmtId="187" fontId="13" fillId="0" borderId="8" xfId="2" quotePrefix="1" applyNumberFormat="1" applyFont="1" applyBorder="1" applyAlignment="1">
      <alignment horizontal="right"/>
    </xf>
    <xf numFmtId="0" fontId="18" fillId="0" borderId="8" xfId="0" applyFont="1" applyBorder="1" applyAlignment="1">
      <alignment horizontal="center"/>
    </xf>
    <xf numFmtId="0" fontId="13" fillId="0" borderId="8" xfId="1" quotePrefix="1" applyNumberFormat="1" applyFont="1" applyBorder="1" applyAlignment="1">
      <alignment horizontal="center"/>
    </xf>
    <xf numFmtId="0" fontId="13" fillId="0" borderId="8" xfId="1" quotePrefix="1" applyFont="1" applyBorder="1" applyAlignment="1">
      <alignment horizontal="center"/>
    </xf>
    <xf numFmtId="41" fontId="13" fillId="0" borderId="8" xfId="1" quotePrefix="1" applyNumberFormat="1" applyFont="1" applyBorder="1" applyAlignment="1">
      <alignment horizontal="center"/>
    </xf>
    <xf numFmtId="0" fontId="13" fillId="0" borderId="0" xfId="1" quotePrefix="1" applyNumberFormat="1" applyFont="1" applyBorder="1" applyAlignment="1">
      <alignment horizontal="center"/>
    </xf>
    <xf numFmtId="0" fontId="13" fillId="0" borderId="0" xfId="1" quotePrefix="1" applyFont="1" applyBorder="1" applyAlignment="1">
      <alignment horizontal="center"/>
    </xf>
    <xf numFmtId="41" fontId="13" fillId="0" borderId="0" xfId="1" quotePrefix="1" applyNumberFormat="1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0" fontId="13" fillId="0" borderId="25" xfId="1" applyFont="1" applyBorder="1" applyAlignment="1">
      <alignment horizontal="center"/>
    </xf>
    <xf numFmtId="0" fontId="13" fillId="0" borderId="25" xfId="1" applyFont="1" applyBorder="1"/>
    <xf numFmtId="0" fontId="13" fillId="0" borderId="25" xfId="1" quotePrefix="1" applyFont="1" applyBorder="1" applyAlignment="1">
      <alignment horizontal="center"/>
    </xf>
    <xf numFmtId="41" fontId="13" fillId="0" borderId="25" xfId="1" quotePrefix="1" applyNumberFormat="1" applyFont="1" applyBorder="1" applyAlignment="1">
      <alignment horizontal="center"/>
    </xf>
    <xf numFmtId="0" fontId="18" fillId="0" borderId="25" xfId="0" applyFont="1" applyBorder="1" applyAlignment="1">
      <alignment horizontal="center"/>
    </xf>
    <xf numFmtId="0" fontId="2" fillId="0" borderId="10" xfId="1" applyNumberFormat="1" applyFont="1" applyBorder="1" applyAlignment="1">
      <alignment horizontal="center"/>
    </xf>
    <xf numFmtId="187" fontId="2" fillId="0" borderId="5" xfId="2" quotePrefix="1" applyNumberFormat="1" applyFont="1" applyBorder="1" applyAlignment="1">
      <alignment horizontal="center"/>
    </xf>
    <xf numFmtId="187" fontId="2" fillId="0" borderId="5" xfId="1" applyNumberFormat="1" applyFont="1" applyBorder="1"/>
    <xf numFmtId="0" fontId="2" fillId="0" borderId="14" xfId="1" quotePrefix="1" applyNumberFormat="1" applyFont="1" applyBorder="1" applyAlignment="1">
      <alignment horizontal="center"/>
    </xf>
    <xf numFmtId="0" fontId="2" fillId="0" borderId="10" xfId="2" quotePrefix="1" applyNumberFormat="1" applyFont="1" applyBorder="1" applyAlignment="1">
      <alignment horizontal="center"/>
    </xf>
    <xf numFmtId="0" fontId="2" fillId="0" borderId="10" xfId="2" applyNumberFormat="1" applyFont="1" applyBorder="1" applyAlignment="1">
      <alignment horizontal="center"/>
    </xf>
    <xf numFmtId="0" fontId="13" fillId="0" borderId="0" xfId="1" applyFont="1" applyBorder="1" applyAlignment="1">
      <alignment horizontal="center" textRotation="180"/>
    </xf>
    <xf numFmtId="59" fontId="13" fillId="0" borderId="0" xfId="1" applyNumberFormat="1" applyFont="1" applyBorder="1" applyAlignment="1">
      <alignment horizontal="center" textRotation="180"/>
    </xf>
    <xf numFmtId="0" fontId="13" fillId="0" borderId="4" xfId="1" applyFont="1" applyBorder="1" applyAlignment="1">
      <alignment horizontal="right" textRotation="180"/>
    </xf>
    <xf numFmtId="0" fontId="13" fillId="0" borderId="0" xfId="1" applyFont="1" applyAlignment="1">
      <alignment horizontal="right" textRotation="180"/>
    </xf>
    <xf numFmtId="0" fontId="9" fillId="0" borderId="4" xfId="0" applyFont="1" applyBorder="1" applyAlignment="1">
      <alignment horizontal="center"/>
    </xf>
    <xf numFmtId="41" fontId="9" fillId="0" borderId="14" xfId="0" applyNumberFormat="1" applyFont="1" applyBorder="1"/>
    <xf numFmtId="41" fontId="9" fillId="0" borderId="21" xfId="0" applyNumberFormat="1" applyFont="1" applyBorder="1"/>
    <xf numFmtId="0" fontId="9" fillId="0" borderId="0" xfId="0" applyFont="1" applyBorder="1" applyAlignment="1"/>
    <xf numFmtId="41" fontId="9" fillId="0" borderId="10" xfId="0" applyNumberFormat="1" applyFont="1" applyBorder="1"/>
    <xf numFmtId="0" fontId="9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Alignment="1"/>
    <xf numFmtId="187" fontId="9" fillId="0" borderId="10" xfId="0" applyNumberFormat="1" applyFont="1" applyBorder="1" applyAlignment="1">
      <alignment horizontal="center"/>
    </xf>
    <xf numFmtId="0" fontId="18" fillId="0" borderId="5" xfId="0" applyFont="1" applyBorder="1" applyAlignment="1">
      <alignment horizontal="center" vertical="center"/>
    </xf>
    <xf numFmtId="0" fontId="13" fillId="0" borderId="5" xfId="1" applyFont="1" applyBorder="1" applyAlignment="1">
      <alignment vertical="center"/>
    </xf>
    <xf numFmtId="0" fontId="13" fillId="0" borderId="8" xfId="1" applyFont="1" applyBorder="1" applyAlignment="1">
      <alignment horizontal="center"/>
    </xf>
    <xf numFmtId="0" fontId="13" fillId="0" borderId="5" xfId="1" applyFont="1" applyBorder="1" applyAlignment="1">
      <alignment vertical="center"/>
    </xf>
    <xf numFmtId="0" fontId="18" fillId="0" borderId="5" xfId="0" applyFont="1" applyBorder="1" applyAlignment="1">
      <alignment horizontal="center" vertical="center"/>
    </xf>
    <xf numFmtId="0" fontId="13" fillId="0" borderId="8" xfId="1" applyFont="1" applyBorder="1" applyAlignment="1">
      <alignment horizontal="center"/>
    </xf>
    <xf numFmtId="0" fontId="13" fillId="0" borderId="10" xfId="1" applyFont="1" applyBorder="1" applyAlignment="1">
      <alignment shrinkToFit="1"/>
    </xf>
    <xf numFmtId="0" fontId="2" fillId="0" borderId="1" xfId="1" applyFont="1" applyBorder="1" applyAlignment="1">
      <alignment horizontal="center" shrinkToFit="1"/>
    </xf>
    <xf numFmtId="0" fontId="2" fillId="0" borderId="10" xfId="1" applyFont="1" applyBorder="1" applyAlignment="1">
      <alignment horizontal="center" shrinkToFit="1"/>
    </xf>
    <xf numFmtId="14" fontId="2" fillId="0" borderId="10" xfId="1" applyNumberFormat="1" applyFont="1" applyBorder="1" applyAlignment="1">
      <alignment horizontal="center" shrinkToFit="1"/>
    </xf>
    <xf numFmtId="0" fontId="2" fillId="0" borderId="5" xfId="1" applyFont="1" applyBorder="1" applyAlignment="1">
      <alignment horizontal="center" shrinkToFit="1"/>
    </xf>
    <xf numFmtId="187" fontId="2" fillId="0" borderId="0" xfId="1" applyNumberFormat="1" applyFont="1"/>
    <xf numFmtId="49" fontId="2" fillId="0" borderId="11" xfId="1" applyNumberFormat="1" applyFont="1" applyBorder="1" applyAlignment="1">
      <alignment horizontal="center"/>
    </xf>
    <xf numFmtId="49" fontId="2" fillId="0" borderId="1" xfId="1" applyNumberFormat="1" applyFont="1" applyBorder="1" applyAlignment="1">
      <alignment horizontal="center"/>
    </xf>
    <xf numFmtId="187" fontId="2" fillId="0" borderId="23" xfId="1" applyNumberFormat="1" applyFont="1" applyBorder="1"/>
    <xf numFmtId="0" fontId="2" fillId="0" borderId="10" xfId="1" quotePrefix="1" applyNumberFormat="1" applyFont="1" applyBorder="1" applyAlignment="1">
      <alignment horizontal="center"/>
    </xf>
    <xf numFmtId="0" fontId="2" fillId="0" borderId="21" xfId="2" quotePrefix="1" applyNumberFormat="1" applyFont="1" applyBorder="1" applyAlignment="1">
      <alignment horizontal="center"/>
    </xf>
    <xf numFmtId="0" fontId="2" fillId="0" borderId="5" xfId="1" quotePrefix="1" applyNumberFormat="1" applyFont="1" applyBorder="1" applyAlignment="1">
      <alignment horizontal="center"/>
    </xf>
    <xf numFmtId="43" fontId="2" fillId="0" borderId="11" xfId="1" quotePrefix="1" applyNumberFormat="1" applyFont="1" applyBorder="1" applyAlignment="1">
      <alignment horizontal="center"/>
    </xf>
    <xf numFmtId="43" fontId="2" fillId="0" borderId="1" xfId="1" quotePrefix="1" applyNumberFormat="1" applyFont="1" applyBorder="1" applyAlignment="1">
      <alignment horizontal="center"/>
    </xf>
    <xf numFmtId="43" fontId="2" fillId="0" borderId="9" xfId="1" quotePrefix="1" applyNumberFormat="1" applyFont="1" applyBorder="1" applyAlignment="1">
      <alignment horizontal="center"/>
    </xf>
    <xf numFmtId="43" fontId="2" fillId="0" borderId="10" xfId="1" quotePrefix="1" applyNumberFormat="1" applyFont="1" applyBorder="1" applyAlignment="1">
      <alignment horizontal="center"/>
    </xf>
    <xf numFmtId="41" fontId="2" fillId="0" borderId="14" xfId="1" quotePrefix="1" applyNumberFormat="1" applyFont="1" applyBorder="1" applyAlignment="1"/>
    <xf numFmtId="41" fontId="2" fillId="0" borderId="16" xfId="1" quotePrefix="1" applyNumberFormat="1" applyFont="1" applyBorder="1" applyAlignment="1"/>
    <xf numFmtId="0" fontId="2" fillId="0" borderId="21" xfId="1" applyFont="1" applyBorder="1" applyAlignment="1">
      <alignment horizontal="center" shrinkToFit="1"/>
    </xf>
    <xf numFmtId="43" fontId="2" fillId="0" borderId="21" xfId="1" applyNumberFormat="1" applyFont="1" applyBorder="1" applyAlignment="1">
      <alignment horizontal="center"/>
    </xf>
    <xf numFmtId="0" fontId="2" fillId="0" borderId="21" xfId="1" quotePrefix="1" applyFont="1" applyBorder="1" applyAlignment="1">
      <alignment horizontal="center"/>
    </xf>
    <xf numFmtId="41" fontId="13" fillId="0" borderId="13" xfId="1" quotePrefix="1" applyNumberFormat="1" applyFont="1" applyBorder="1" applyAlignment="1"/>
    <xf numFmtId="0" fontId="13" fillId="0" borderId="11" xfId="1" quotePrefix="1" applyFont="1" applyBorder="1" applyAlignment="1"/>
    <xf numFmtId="0" fontId="13" fillId="0" borderId="14" xfId="1" quotePrefix="1" applyNumberFormat="1" applyFont="1" applyBorder="1" applyAlignment="1">
      <alignment horizontal="center"/>
    </xf>
    <xf numFmtId="43" fontId="13" fillId="0" borderId="14" xfId="1" quotePrefix="1" applyNumberFormat="1" applyFont="1" applyBorder="1" applyAlignment="1">
      <alignment horizontal="center"/>
    </xf>
    <xf numFmtId="43" fontId="13" fillId="0" borderId="9" xfId="1" quotePrefix="1" applyNumberFormat="1" applyFont="1" applyBorder="1" applyAlignment="1">
      <alignment horizontal="center"/>
    </xf>
    <xf numFmtId="43" fontId="13" fillId="0" borderId="25" xfId="1" quotePrefix="1" applyNumberFormat="1" applyFont="1" applyBorder="1" applyAlignment="1">
      <alignment horizontal="center"/>
    </xf>
    <xf numFmtId="43" fontId="13" fillId="0" borderId="5" xfId="1" quotePrefix="1" applyNumberFormat="1" applyFont="1" applyBorder="1" applyAlignment="1">
      <alignment horizontal="center"/>
    </xf>
    <xf numFmtId="0" fontId="15" fillId="0" borderId="0" xfId="1" applyNumberFormat="1" applyFont="1"/>
    <xf numFmtId="0" fontId="15" fillId="0" borderId="0" xfId="0" applyNumberFormat="1" applyFont="1"/>
    <xf numFmtId="0" fontId="22" fillId="0" borderId="1" xfId="1" applyNumberFormat="1" applyFont="1" applyBorder="1" applyAlignment="1">
      <alignment horizontal="center"/>
    </xf>
    <xf numFmtId="0" fontId="22" fillId="0" borderId="5" xfId="1" applyNumberFormat="1" applyFont="1" applyBorder="1" applyAlignment="1">
      <alignment horizontal="center"/>
    </xf>
    <xf numFmtId="0" fontId="22" fillId="0" borderId="9" xfId="1" applyNumberFormat="1" applyFont="1" applyBorder="1" applyAlignment="1">
      <alignment horizontal="center"/>
    </xf>
    <xf numFmtId="0" fontId="13" fillId="0" borderId="1" xfId="1" applyNumberFormat="1" applyFont="1" applyBorder="1" applyAlignment="1">
      <alignment horizontal="center"/>
    </xf>
    <xf numFmtId="0" fontId="13" fillId="0" borderId="5" xfId="1" applyNumberFormat="1" applyFont="1" applyBorder="1" applyAlignment="1">
      <alignment horizontal="center"/>
    </xf>
    <xf numFmtId="0" fontId="13" fillId="0" borderId="5" xfId="1" applyNumberFormat="1" applyFont="1" applyBorder="1" applyAlignment="1"/>
    <xf numFmtId="0" fontId="13" fillId="0" borderId="9" xfId="1" applyNumberFormat="1" applyFont="1" applyBorder="1" applyAlignment="1">
      <alignment horizontal="center"/>
    </xf>
    <xf numFmtId="0" fontId="13" fillId="0" borderId="5" xfId="2" applyNumberFormat="1" applyFont="1" applyBorder="1"/>
    <xf numFmtId="0" fontId="13" fillId="0" borderId="14" xfId="1" applyNumberFormat="1" applyFont="1" applyBorder="1" applyAlignment="1">
      <alignment horizontal="center"/>
    </xf>
    <xf numFmtId="0" fontId="13" fillId="0" borderId="25" xfId="1" applyNumberFormat="1" applyFont="1" applyBorder="1" applyAlignment="1">
      <alignment horizontal="center"/>
    </xf>
    <xf numFmtId="0" fontId="13" fillId="0" borderId="13" xfId="1" quotePrefix="1" applyNumberFormat="1" applyFont="1" applyBorder="1" applyAlignment="1">
      <alignment horizontal="center"/>
    </xf>
    <xf numFmtId="0" fontId="13" fillId="0" borderId="23" xfId="1" quotePrefix="1" applyNumberFormat="1" applyFont="1" applyBorder="1" applyAlignment="1">
      <alignment horizontal="center"/>
    </xf>
    <xf numFmtId="0" fontId="13" fillId="0" borderId="11" xfId="1" applyNumberFormat="1" applyFont="1" applyBorder="1" applyAlignment="1">
      <alignment horizontal="center"/>
    </xf>
    <xf numFmtId="0" fontId="13" fillId="0" borderId="0" xfId="1" applyNumberFormat="1" applyFont="1"/>
    <xf numFmtId="0" fontId="2" fillId="0" borderId="0" xfId="1" applyNumberFormat="1" applyFont="1"/>
    <xf numFmtId="43" fontId="13" fillId="0" borderId="21" xfId="1" quotePrefix="1" applyNumberFormat="1" applyFont="1" applyBorder="1" applyAlignment="1">
      <alignment horizontal="center"/>
    </xf>
    <xf numFmtId="0" fontId="13" fillId="0" borderId="9" xfId="1" applyFont="1" applyBorder="1"/>
    <xf numFmtId="0" fontId="13" fillId="0" borderId="9" xfId="1" quotePrefix="1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43" fontId="13" fillId="0" borderId="1" xfId="1" quotePrefix="1" applyNumberFormat="1" applyFont="1" applyBorder="1" applyAlignment="1">
      <alignment horizontal="center"/>
    </xf>
    <xf numFmtId="43" fontId="13" fillId="0" borderId="10" xfId="1" quotePrefix="1" applyNumberFormat="1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1" xfId="0" applyFont="1" applyBorder="1" applyAlignment="1">
      <alignment horizontal="center" shrinkToFit="1"/>
    </xf>
    <xf numFmtId="0" fontId="9" fillId="0" borderId="1" xfId="0" applyFont="1" applyBorder="1" applyAlignment="1">
      <alignment shrinkToFit="1"/>
    </xf>
    <xf numFmtId="0" fontId="9" fillId="0" borderId="5" xfId="0" applyFont="1" applyBorder="1" applyAlignment="1">
      <alignment horizont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9" xfId="0" applyFont="1" applyBorder="1" applyAlignment="1">
      <alignment shrinkToFit="1"/>
    </xf>
    <xf numFmtId="0" fontId="9" fillId="0" borderId="9" xfId="0" applyFont="1" applyBorder="1" applyAlignment="1">
      <alignment horizontal="center" shrinkToFit="1"/>
    </xf>
    <xf numFmtId="0" fontId="9" fillId="0" borderId="9" xfId="0" applyFont="1" applyBorder="1" applyAlignment="1">
      <alignment vertical="center" shrinkToFit="1"/>
    </xf>
    <xf numFmtId="187" fontId="9" fillId="0" borderId="1" xfId="3" applyNumberFormat="1" applyFont="1" applyBorder="1" applyAlignment="1">
      <alignment shrinkToFit="1"/>
    </xf>
    <xf numFmtId="187" fontId="9" fillId="0" borderId="1" xfId="0" applyNumberFormat="1" applyFont="1" applyBorder="1" applyAlignment="1">
      <alignment shrinkToFit="1"/>
    </xf>
    <xf numFmtId="0" fontId="9" fillId="0" borderId="5" xfId="0" applyFont="1" applyBorder="1" applyAlignment="1">
      <alignment shrinkToFit="1"/>
    </xf>
    <xf numFmtId="187" fontId="9" fillId="0" borderId="5" xfId="3" applyNumberFormat="1" applyFont="1" applyBorder="1" applyAlignment="1">
      <alignment shrinkToFit="1"/>
    </xf>
    <xf numFmtId="0" fontId="9" fillId="0" borderId="13" xfId="0" applyFont="1" applyBorder="1" applyAlignment="1">
      <alignment horizontal="center" shrinkToFit="1"/>
    </xf>
    <xf numFmtId="0" fontId="9" fillId="0" borderId="13" xfId="0" applyFont="1" applyBorder="1" applyAlignment="1">
      <alignment shrinkToFit="1"/>
    </xf>
    <xf numFmtId="187" fontId="9" fillId="0" borderId="13" xfId="3" applyNumberFormat="1" applyFont="1" applyBorder="1" applyAlignment="1">
      <alignment shrinkToFit="1"/>
    </xf>
    <xf numFmtId="187" fontId="9" fillId="0" borderId="13" xfId="0" applyNumberFormat="1" applyFont="1" applyBorder="1" applyAlignment="1">
      <alignment shrinkToFit="1"/>
    </xf>
    <xf numFmtId="0" fontId="9" fillId="0" borderId="17" xfId="0" applyFont="1" applyBorder="1" applyAlignment="1">
      <alignment horizontal="center" shrinkToFit="1"/>
    </xf>
    <xf numFmtId="0" fontId="9" fillId="0" borderId="17" xfId="0" applyFont="1" applyBorder="1" applyAlignment="1">
      <alignment shrinkToFit="1"/>
    </xf>
    <xf numFmtId="187" fontId="9" fillId="0" borderId="17" xfId="3" applyNumberFormat="1" applyFont="1" applyBorder="1" applyAlignment="1">
      <alignment shrinkToFit="1"/>
    </xf>
    <xf numFmtId="0" fontId="11" fillId="0" borderId="5" xfId="0" applyFont="1" applyBorder="1" applyAlignment="1">
      <alignment shrinkToFit="1"/>
    </xf>
    <xf numFmtId="187" fontId="9" fillId="0" borderId="5" xfId="0" applyNumberFormat="1" applyFont="1" applyBorder="1" applyAlignment="1">
      <alignment shrinkToFit="1"/>
    </xf>
    <xf numFmtId="0" fontId="9" fillId="0" borderId="10" xfId="0" applyFont="1" applyBorder="1" applyAlignment="1">
      <alignment horizontal="center" shrinkToFit="1"/>
    </xf>
    <xf numFmtId="0" fontId="9" fillId="0" borderId="10" xfId="0" applyFont="1" applyBorder="1" applyAlignment="1">
      <alignment shrinkToFit="1"/>
    </xf>
    <xf numFmtId="187" fontId="9" fillId="0" borderId="10" xfId="3" applyNumberFormat="1" applyFont="1" applyBorder="1" applyAlignment="1">
      <alignment shrinkToFit="1"/>
    </xf>
    <xf numFmtId="187" fontId="12" fillId="0" borderId="10" xfId="2" applyNumberFormat="1" applyFont="1" applyBorder="1" applyAlignment="1">
      <alignment shrinkToFit="1"/>
    </xf>
    <xf numFmtId="14" fontId="9" fillId="0" borderId="10" xfId="0" quotePrefix="1" applyNumberFormat="1" applyFont="1" applyBorder="1" applyAlignment="1">
      <alignment horizontal="center" shrinkToFit="1"/>
    </xf>
    <xf numFmtId="0" fontId="9" fillId="0" borderId="10" xfId="0" quotePrefix="1" applyFont="1" applyBorder="1" applyAlignment="1">
      <alignment horizontal="center" shrinkToFit="1"/>
    </xf>
    <xf numFmtId="0" fontId="9" fillId="0" borderId="21" xfId="0" applyFont="1" applyBorder="1" applyAlignment="1">
      <alignment shrinkToFit="1"/>
    </xf>
    <xf numFmtId="0" fontId="9" fillId="0" borderId="21" xfId="0" applyFont="1" applyBorder="1" applyAlignment="1">
      <alignment horizontal="center" shrinkToFit="1"/>
    </xf>
    <xf numFmtId="0" fontId="9" fillId="0" borderId="14" xfId="0" applyFont="1" applyBorder="1" applyAlignment="1">
      <alignment shrinkToFit="1"/>
    </xf>
    <xf numFmtId="0" fontId="9" fillId="0" borderId="10" xfId="0" applyFont="1" applyBorder="1" applyAlignment="1">
      <alignment horizontal="left" shrinkToFit="1"/>
    </xf>
    <xf numFmtId="0" fontId="24" fillId="0" borderId="13" xfId="0" applyFont="1" applyBorder="1" applyAlignment="1">
      <alignment horizontal="center" shrinkToFit="1"/>
    </xf>
    <xf numFmtId="0" fontId="24" fillId="0" borderId="10" xfId="0" applyFont="1" applyBorder="1" applyAlignment="1">
      <alignment horizontal="center" shrinkToFit="1"/>
    </xf>
    <xf numFmtId="187" fontId="12" fillId="0" borderId="13" xfId="2" applyNumberFormat="1" applyFont="1" applyBorder="1" applyAlignment="1">
      <alignment shrinkToFit="1"/>
    </xf>
    <xf numFmtId="0" fontId="9" fillId="0" borderId="0" xfId="0" applyFont="1" applyBorder="1" applyAlignment="1">
      <alignment horizontal="center" shrinkToFit="1"/>
    </xf>
    <xf numFmtId="0" fontId="9" fillId="0" borderId="0" xfId="0" applyFont="1" applyBorder="1" applyAlignment="1">
      <alignment shrinkToFit="1"/>
    </xf>
    <xf numFmtId="0" fontId="9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vertical="center" shrinkToFit="1"/>
    </xf>
    <xf numFmtId="0" fontId="9" fillId="0" borderId="14" xfId="0" applyFont="1" applyBorder="1" applyAlignment="1">
      <alignment horizontal="center" shrinkToFit="1"/>
    </xf>
    <xf numFmtId="0" fontId="7" fillId="0" borderId="10" xfId="0" applyFont="1" applyBorder="1" applyAlignment="1">
      <alignment shrinkToFit="1"/>
    </xf>
    <xf numFmtId="187" fontId="9" fillId="0" borderId="14" xfId="3" applyNumberFormat="1" applyFont="1" applyBorder="1" applyAlignment="1">
      <alignment shrinkToFit="1"/>
    </xf>
    <xf numFmtId="0" fontId="7" fillId="0" borderId="14" xfId="0" applyFont="1" applyBorder="1" applyAlignment="1">
      <alignment shrinkToFit="1"/>
    </xf>
    <xf numFmtId="0" fontId="9" fillId="0" borderId="16" xfId="0" applyFont="1" applyBorder="1" applyAlignment="1">
      <alignment horizontal="center" shrinkToFit="1"/>
    </xf>
    <xf numFmtId="0" fontId="9" fillId="0" borderId="16" xfId="0" applyFont="1" applyBorder="1" applyAlignment="1">
      <alignment shrinkToFit="1"/>
    </xf>
    <xf numFmtId="187" fontId="9" fillId="0" borderId="16" xfId="3" applyNumberFormat="1" applyFont="1" applyBorder="1" applyAlignment="1">
      <alignment shrinkToFit="1"/>
    </xf>
    <xf numFmtId="187" fontId="9" fillId="0" borderId="10" xfId="0" applyNumberFormat="1" applyFont="1" applyBorder="1" applyAlignment="1">
      <alignment shrinkToFit="1"/>
    </xf>
    <xf numFmtId="187" fontId="9" fillId="0" borderId="21" xfId="3" applyNumberFormat="1" applyFont="1" applyBorder="1" applyAlignment="1">
      <alignment shrinkToFit="1"/>
    </xf>
    <xf numFmtId="187" fontId="9" fillId="0" borderId="21" xfId="0" applyNumberFormat="1" applyFont="1" applyBorder="1" applyAlignment="1">
      <alignment shrinkToFit="1"/>
    </xf>
    <xf numFmtId="187" fontId="9" fillId="0" borderId="0" xfId="3" applyNumberFormat="1" applyFont="1" applyBorder="1" applyAlignment="1">
      <alignment shrinkToFit="1"/>
    </xf>
    <xf numFmtId="187" fontId="9" fillId="0" borderId="0" xfId="0" applyNumberFormat="1" applyFont="1" applyBorder="1" applyAlignment="1">
      <alignment shrinkToFit="1"/>
    </xf>
    <xf numFmtId="187" fontId="18" fillId="0" borderId="0" xfId="0" applyNumberFormat="1" applyFont="1" applyBorder="1" applyAlignment="1">
      <alignment horizontal="right" vertical="top" textRotation="180" shrinkToFit="1"/>
    </xf>
    <xf numFmtId="0" fontId="9" fillId="0" borderId="0" xfId="0" applyFont="1" applyBorder="1" applyAlignment="1">
      <alignment horizontal="center" shrinkToFit="1"/>
    </xf>
    <xf numFmtId="0" fontId="9" fillId="0" borderId="0" xfId="0" applyFont="1" applyAlignment="1">
      <alignment horizontal="center" shrinkToFit="1"/>
    </xf>
    <xf numFmtId="0" fontId="9" fillId="0" borderId="0" xfId="0" applyFont="1" applyAlignment="1">
      <alignment shrinkToFit="1"/>
    </xf>
    <xf numFmtId="187" fontId="12" fillId="0" borderId="14" xfId="2" applyNumberFormat="1" applyFont="1" applyBorder="1" applyAlignment="1">
      <alignment shrinkToFit="1"/>
    </xf>
    <xf numFmtId="0" fontId="11" fillId="0" borderId="5" xfId="0" applyFont="1" applyBorder="1" applyAlignment="1">
      <alignment horizontal="center" shrinkToFit="1"/>
    </xf>
    <xf numFmtId="187" fontId="9" fillId="0" borderId="9" xfId="3" applyNumberFormat="1" applyFont="1" applyBorder="1" applyAlignment="1">
      <alignment horizontal="center" shrinkToFit="1"/>
    </xf>
    <xf numFmtId="187" fontId="9" fillId="0" borderId="9" xfId="3" applyNumberFormat="1" applyFont="1" applyBorder="1" applyAlignment="1">
      <alignment shrinkToFit="1"/>
    </xf>
    <xf numFmtId="0" fontId="11" fillId="0" borderId="0" xfId="0" applyFont="1" applyBorder="1" applyAlignment="1">
      <alignment horizontal="center" shrinkToFit="1"/>
    </xf>
    <xf numFmtId="187" fontId="9" fillId="0" borderId="0" xfId="3" applyNumberFormat="1" applyFont="1" applyBorder="1" applyAlignment="1">
      <alignment horizontal="center" shrinkToFit="1"/>
    </xf>
    <xf numFmtId="0" fontId="18" fillId="0" borderId="0" xfId="0" applyFont="1" applyBorder="1" applyAlignment="1">
      <alignment horizontal="right" textRotation="180" shrinkToFit="1"/>
    </xf>
    <xf numFmtId="41" fontId="9" fillId="0" borderId="5" xfId="0" applyNumberFormat="1" applyFont="1" applyBorder="1" applyAlignment="1">
      <alignment shrinkToFit="1"/>
    </xf>
    <xf numFmtId="41" fontId="9" fillId="0" borderId="14" xfId="0" applyNumberFormat="1" applyFont="1" applyBorder="1" applyAlignment="1">
      <alignment shrinkToFit="1"/>
    </xf>
    <xf numFmtId="41" fontId="9" fillId="0" borderId="10" xfId="0" applyNumberFormat="1" applyFont="1" applyBorder="1" applyAlignment="1">
      <alignment shrinkToFit="1"/>
    </xf>
    <xf numFmtId="41" fontId="9" fillId="0" borderId="21" xfId="0" applyNumberFormat="1" applyFont="1" applyBorder="1" applyAlignment="1">
      <alignment shrinkToFit="1"/>
    </xf>
    <xf numFmtId="187" fontId="7" fillId="0" borderId="10" xfId="3" applyNumberFormat="1" applyFont="1" applyBorder="1" applyAlignment="1">
      <alignment shrinkToFit="1"/>
    </xf>
    <xf numFmtId="0" fontId="9" fillId="0" borderId="14" xfId="0" applyFont="1" applyBorder="1" applyAlignment="1">
      <alignment horizontal="left" shrinkToFit="1"/>
    </xf>
    <xf numFmtId="187" fontId="2" fillId="0" borderId="10" xfId="2" applyNumberFormat="1" applyFont="1" applyBorder="1" applyAlignment="1">
      <alignment shrinkToFit="1"/>
    </xf>
    <xf numFmtId="0" fontId="9" fillId="0" borderId="17" xfId="0" applyFont="1" applyBorder="1" applyAlignment="1">
      <alignment horizontal="left" shrinkToFit="1"/>
    </xf>
    <xf numFmtId="187" fontId="2" fillId="0" borderId="17" xfId="2" applyNumberFormat="1" applyFont="1" applyBorder="1"/>
    <xf numFmtId="187" fontId="9" fillId="0" borderId="14" xfId="0" applyNumberFormat="1" applyFont="1" applyBorder="1" applyAlignment="1">
      <alignment shrinkToFit="1"/>
    </xf>
    <xf numFmtId="187" fontId="9" fillId="0" borderId="10" xfId="0" applyNumberFormat="1" applyFont="1" applyBorder="1" applyAlignment="1">
      <alignment horizontal="center" shrinkToFit="1"/>
    </xf>
    <xf numFmtId="0" fontId="11" fillId="0" borderId="10" xfId="0" applyFont="1" applyBorder="1" applyAlignment="1">
      <alignment horizontal="center" shrinkToFit="1"/>
    </xf>
    <xf numFmtId="0" fontId="9" fillId="0" borderId="9" xfId="0" applyFont="1" applyBorder="1" applyAlignment="1">
      <alignment horizontal="left" shrinkToFit="1"/>
    </xf>
    <xf numFmtId="0" fontId="24" fillId="0" borderId="21" xfId="0" applyFont="1" applyBorder="1" applyAlignment="1">
      <alignment horizontal="center" shrinkToFit="1"/>
    </xf>
    <xf numFmtId="0" fontId="24" fillId="0" borderId="9" xfId="0" applyFont="1" applyBorder="1" applyAlignment="1">
      <alignment horizont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shrinkToFit="1"/>
    </xf>
    <xf numFmtId="0" fontId="9" fillId="0" borderId="0" xfId="0" applyFont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0" fillId="0" borderId="0" xfId="0" applyFont="1" applyAlignment="1"/>
    <xf numFmtId="0" fontId="18" fillId="0" borderId="0" xfId="0" applyFont="1" applyBorder="1" applyAlignment="1">
      <alignment horizontal="center" vertical="center" textRotation="180"/>
    </xf>
    <xf numFmtId="0" fontId="18" fillId="0" borderId="0" xfId="0" applyFont="1" applyBorder="1" applyAlignment="1">
      <alignment horizontal="center" textRotation="180" shrinkToFit="1"/>
    </xf>
    <xf numFmtId="0" fontId="13" fillId="0" borderId="8" xfId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shrinkToFit="1"/>
    </xf>
    <xf numFmtId="0" fontId="9" fillId="0" borderId="4" xfId="0" applyFont="1" applyBorder="1" applyAlignment="1">
      <alignment horizontal="center" shrinkToFit="1"/>
    </xf>
    <xf numFmtId="0" fontId="9" fillId="0" borderId="3" xfId="0" applyFont="1" applyBorder="1" applyAlignment="1">
      <alignment horizontal="center" shrinkToFit="1"/>
    </xf>
    <xf numFmtId="0" fontId="9" fillId="0" borderId="18" xfId="0" applyFont="1" applyBorder="1" applyAlignment="1">
      <alignment horizontal="center" shrinkToFit="1"/>
    </xf>
    <xf numFmtId="0" fontId="9" fillId="0" borderId="19" xfId="0" applyFont="1" applyBorder="1" applyAlignment="1">
      <alignment horizontal="center" shrinkToFit="1"/>
    </xf>
    <xf numFmtId="0" fontId="9" fillId="0" borderId="20" xfId="0" applyFont="1" applyBorder="1" applyAlignment="1">
      <alignment horizontal="center" shrinkToFit="1"/>
    </xf>
    <xf numFmtId="0" fontId="9" fillId="0" borderId="0" xfId="0" applyFont="1" applyBorder="1" applyAlignment="1">
      <alignment horizontal="center" shrinkToFit="1"/>
    </xf>
    <xf numFmtId="0" fontId="10" fillId="0" borderId="0" xfId="0" applyFont="1" applyAlignment="1">
      <alignment horizontal="center"/>
    </xf>
    <xf numFmtId="0" fontId="21" fillId="0" borderId="18" xfId="1" applyFont="1" applyBorder="1" applyAlignment="1">
      <alignment horizontal="center"/>
    </xf>
    <xf numFmtId="0" fontId="21" fillId="0" borderId="20" xfId="1" applyFont="1" applyBorder="1" applyAlignment="1">
      <alignment horizontal="center"/>
    </xf>
    <xf numFmtId="0" fontId="13" fillId="0" borderId="1" xfId="1" applyFont="1" applyBorder="1" applyAlignment="1">
      <alignment horizontal="center" vertical="center"/>
    </xf>
    <xf numFmtId="0" fontId="13" fillId="0" borderId="5" xfId="1" applyFont="1" applyBorder="1" applyAlignment="1">
      <alignment vertical="center"/>
    </xf>
    <xf numFmtId="0" fontId="13" fillId="0" borderId="9" xfId="1" applyFont="1" applyBorder="1" applyAlignment="1">
      <alignment vertical="center"/>
    </xf>
    <xf numFmtId="0" fontId="6" fillId="0" borderId="2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13" fillId="0" borderId="2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3" fillId="0" borderId="3" xfId="1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3" fillId="0" borderId="6" xfId="1" applyFont="1" applyBorder="1" applyAlignment="1">
      <alignment horizontal="center"/>
    </xf>
    <xf numFmtId="0" fontId="13" fillId="0" borderId="8" xfId="1" applyFont="1" applyBorder="1" applyAlignment="1">
      <alignment horizontal="center"/>
    </xf>
    <xf numFmtId="0" fontId="13" fillId="0" borderId="7" xfId="1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9" fillId="0" borderId="8" xfId="0" applyFont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5" xfId="1" applyFont="1" applyBorder="1" applyAlignment="1">
      <alignment vertical="center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2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6" xfId="1" applyFont="1" applyBorder="1" applyAlignment="1">
      <alignment vertical="center"/>
    </xf>
    <xf numFmtId="0" fontId="2" fillId="0" borderId="8" xfId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0" fontId="2" fillId="0" borderId="6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5" xfId="1" applyFont="1" applyBorder="1" applyAlignment="1">
      <alignment horizontal="center" vertical="center"/>
    </xf>
    <xf numFmtId="0" fontId="2" fillId="0" borderId="9" xfId="1" applyFont="1" applyBorder="1" applyAlignment="1">
      <alignment vertical="center"/>
    </xf>
  </cellXfs>
  <cellStyles count="4">
    <cellStyle name="Comma" xfId="3" builtinId="3"/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16</xdr:row>
      <xdr:rowOff>1</xdr:rowOff>
    </xdr:from>
    <xdr:to>
      <xdr:col>9</xdr:col>
      <xdr:colOff>1057275</xdr:colOff>
      <xdr:row>16</xdr:row>
      <xdr:rowOff>171451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5715000" y="3962401"/>
          <a:ext cx="102870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000" b="0" i="0" u="none" strike="noStrike" baseline="0">
              <a:solidFill>
                <a:srgbClr val="000000"/>
              </a:solidFill>
              <a:latin typeface="TH Niramit AS"/>
              <a:cs typeface="TH Niramit AS"/>
            </a:rPr>
            <a:t>ปรับตามมติ ก.อบต.จ.นศ</a:t>
          </a:r>
        </a:p>
        <a:p>
          <a:pPr algn="ctr" rtl="0">
            <a:defRPr sz="1000"/>
          </a:pPr>
          <a:endParaRPr lang="th-TH" sz="1000" b="0" i="0" u="none" strike="noStrike" baseline="0">
            <a:solidFill>
              <a:srgbClr val="000000"/>
            </a:solidFill>
            <a:latin typeface="TH Niramit AS"/>
            <a:cs typeface="TH Niramit AS"/>
          </a:endParaRPr>
        </a:p>
        <a:p>
          <a:pPr algn="ctr" rtl="0">
            <a:defRPr sz="1000"/>
          </a:pPr>
          <a:endParaRPr lang="th-TH" sz="1100" b="0" i="0" u="none" strike="noStrike" baseline="0">
            <a:solidFill>
              <a:srgbClr val="000000"/>
            </a:solidFill>
            <a:latin typeface="TH Niramit AS"/>
            <a:cs typeface="TH Niramit AS"/>
          </a:endParaRPr>
        </a:p>
        <a:p>
          <a:pPr algn="ctr" rtl="0">
            <a:defRPr sz="1000"/>
          </a:pPr>
          <a:endParaRPr lang="th-TH" sz="1100" b="0" i="0" u="none" strike="noStrike" baseline="0">
            <a:solidFill>
              <a:srgbClr val="000000"/>
            </a:solidFill>
            <a:latin typeface="TH Niramit AS"/>
            <a:cs typeface="TH Niramit AS"/>
          </a:endParaRPr>
        </a:p>
      </xdr:txBody>
    </xdr:sp>
    <xdr:clientData/>
  </xdr:twoCellAnchor>
  <xdr:twoCellAnchor>
    <xdr:from>
      <xdr:col>9</xdr:col>
      <xdr:colOff>19049</xdr:colOff>
      <xdr:row>16</xdr:row>
      <xdr:rowOff>152400</xdr:rowOff>
    </xdr:from>
    <xdr:to>
      <xdr:col>9</xdr:col>
      <xdr:colOff>1095375</xdr:colOff>
      <xdr:row>16</xdr:row>
      <xdr:rowOff>371475</xdr:rowOff>
    </xdr:to>
    <xdr:sp macro="" textlink="">
      <xdr:nvSpPr>
        <xdr:cNvPr id="3" name="Text Box 1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5705474" y="4114800"/>
          <a:ext cx="1076326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000" b="0" i="0" u="none" strike="noStrike" baseline="0">
              <a:solidFill>
                <a:srgbClr val="000000"/>
              </a:solidFill>
              <a:latin typeface="TH Niramit AS"/>
              <a:cs typeface="TH Niramit AS"/>
            </a:rPr>
            <a:t>ครั้งที่ 2/58 เมื่อ 24 ก.พ.58</a:t>
          </a:r>
        </a:p>
      </xdr:txBody>
    </xdr:sp>
    <xdr:clientData/>
  </xdr:twoCellAnchor>
  <xdr:twoCellAnchor>
    <xdr:from>
      <xdr:col>9</xdr:col>
      <xdr:colOff>38100</xdr:colOff>
      <xdr:row>32</xdr:row>
      <xdr:rowOff>19050</xdr:rowOff>
    </xdr:from>
    <xdr:to>
      <xdr:col>9</xdr:col>
      <xdr:colOff>1066800</xdr:colOff>
      <xdr:row>32</xdr:row>
      <xdr:rowOff>190500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5724525" y="7934325"/>
          <a:ext cx="102870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000" b="0" i="0" u="none" strike="noStrike" baseline="0">
              <a:solidFill>
                <a:srgbClr val="000000"/>
              </a:solidFill>
              <a:latin typeface="TH Niramit AS"/>
              <a:cs typeface="TH Niramit AS"/>
            </a:rPr>
            <a:t>ปรับตามมติ ก.อบต.จ.นศ</a:t>
          </a:r>
        </a:p>
        <a:p>
          <a:pPr algn="ctr" rtl="0">
            <a:defRPr sz="1000"/>
          </a:pPr>
          <a:endParaRPr lang="th-TH" sz="1000" b="0" i="0" u="none" strike="noStrike" baseline="0">
            <a:solidFill>
              <a:srgbClr val="000000"/>
            </a:solidFill>
            <a:latin typeface="TH Niramit AS"/>
            <a:cs typeface="TH Niramit AS"/>
          </a:endParaRPr>
        </a:p>
        <a:p>
          <a:pPr algn="ctr" rtl="0">
            <a:defRPr sz="1000"/>
          </a:pPr>
          <a:endParaRPr lang="th-TH" sz="1100" b="0" i="0" u="none" strike="noStrike" baseline="0">
            <a:solidFill>
              <a:srgbClr val="000000"/>
            </a:solidFill>
            <a:latin typeface="TH Niramit AS"/>
            <a:cs typeface="TH Niramit AS"/>
          </a:endParaRPr>
        </a:p>
        <a:p>
          <a:pPr algn="ctr" rtl="0">
            <a:defRPr sz="1000"/>
          </a:pPr>
          <a:endParaRPr lang="th-TH" sz="1100" b="0" i="0" u="none" strike="noStrike" baseline="0">
            <a:solidFill>
              <a:srgbClr val="000000"/>
            </a:solidFill>
            <a:latin typeface="TH Niramit AS"/>
            <a:cs typeface="TH Niramit AS"/>
          </a:endParaRPr>
        </a:p>
      </xdr:txBody>
    </xdr:sp>
    <xdr:clientData/>
  </xdr:twoCellAnchor>
  <xdr:twoCellAnchor>
    <xdr:from>
      <xdr:col>9</xdr:col>
      <xdr:colOff>19050</xdr:colOff>
      <xdr:row>32</xdr:row>
      <xdr:rowOff>180975</xdr:rowOff>
    </xdr:from>
    <xdr:to>
      <xdr:col>9</xdr:col>
      <xdr:colOff>1095376</xdr:colOff>
      <xdr:row>32</xdr:row>
      <xdr:rowOff>400050</xdr:rowOff>
    </xdr:to>
    <xdr:sp macro="" textlink="">
      <xdr:nvSpPr>
        <xdr:cNvPr id="5" name="Text Box 10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5705475" y="8096250"/>
          <a:ext cx="1076326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000" b="0" i="0" u="none" strike="noStrike" baseline="0">
              <a:solidFill>
                <a:srgbClr val="000000"/>
              </a:solidFill>
              <a:latin typeface="TH Niramit AS"/>
              <a:cs typeface="TH Niramit AS"/>
            </a:rPr>
            <a:t>ครั้งที่ </a:t>
          </a:r>
          <a:r>
            <a:rPr lang="en-US" sz="1000" b="0" i="0" u="none" strike="noStrike" baseline="0">
              <a:solidFill>
                <a:srgbClr val="000000"/>
              </a:solidFill>
              <a:latin typeface="TH Niramit AS"/>
              <a:cs typeface="TH Niramit AS"/>
            </a:rPr>
            <a:t>11</a:t>
          </a:r>
          <a:r>
            <a:rPr lang="th-TH" sz="1000" b="0" i="0" u="none" strike="noStrike" baseline="0">
              <a:solidFill>
                <a:srgbClr val="000000"/>
              </a:solidFill>
              <a:latin typeface="TH Niramit AS"/>
              <a:cs typeface="TH Niramit AS"/>
            </a:rPr>
            <a:t>/58 เมื่อ </a:t>
          </a:r>
          <a:r>
            <a:rPr lang="en-US" sz="1000" b="0" i="0" u="none" strike="noStrike" baseline="0">
              <a:solidFill>
                <a:srgbClr val="000000"/>
              </a:solidFill>
              <a:latin typeface="TH Niramit AS"/>
              <a:cs typeface="TH Niramit AS"/>
            </a:rPr>
            <a:t>16</a:t>
          </a:r>
          <a:r>
            <a:rPr lang="th-TH" sz="1000" b="0" i="0" u="none" strike="noStrike" baseline="0">
              <a:solidFill>
                <a:srgbClr val="000000"/>
              </a:solidFill>
              <a:latin typeface="TH Niramit AS"/>
              <a:cs typeface="TH Niramit AS"/>
            </a:rPr>
            <a:t> ต.ค. 58</a:t>
          </a:r>
        </a:p>
      </xdr:txBody>
    </xdr:sp>
    <xdr:clientData/>
  </xdr:twoCellAnchor>
  <xdr:twoCellAnchor>
    <xdr:from>
      <xdr:col>9</xdr:col>
      <xdr:colOff>38100</xdr:colOff>
      <xdr:row>60</xdr:row>
      <xdr:rowOff>171450</xdr:rowOff>
    </xdr:from>
    <xdr:to>
      <xdr:col>9</xdr:col>
      <xdr:colOff>1066800</xdr:colOff>
      <xdr:row>61</xdr:row>
      <xdr:rowOff>171450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5724525" y="14954250"/>
          <a:ext cx="10287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000" b="0" i="0" u="none" strike="noStrike" baseline="0">
              <a:solidFill>
                <a:srgbClr val="000000"/>
              </a:solidFill>
              <a:latin typeface="TH Niramit AS"/>
              <a:cs typeface="TH Niramit AS"/>
            </a:rPr>
            <a:t>ปรับตามมติ ก.อบต.จ.นศ</a:t>
          </a:r>
        </a:p>
        <a:p>
          <a:pPr algn="ctr" rtl="0">
            <a:defRPr sz="1000"/>
          </a:pPr>
          <a:endParaRPr lang="th-TH" sz="1000" b="0" i="0" u="none" strike="noStrike" baseline="0">
            <a:solidFill>
              <a:srgbClr val="000000"/>
            </a:solidFill>
            <a:latin typeface="TH Niramit AS"/>
            <a:cs typeface="TH Niramit AS"/>
          </a:endParaRPr>
        </a:p>
        <a:p>
          <a:pPr algn="ctr" rtl="0">
            <a:defRPr sz="1000"/>
          </a:pPr>
          <a:endParaRPr lang="th-TH" sz="1100" b="0" i="0" u="none" strike="noStrike" baseline="0">
            <a:solidFill>
              <a:srgbClr val="000000"/>
            </a:solidFill>
            <a:latin typeface="TH Niramit AS"/>
            <a:cs typeface="TH Niramit AS"/>
          </a:endParaRPr>
        </a:p>
        <a:p>
          <a:pPr algn="ctr" rtl="0">
            <a:defRPr sz="1000"/>
          </a:pPr>
          <a:endParaRPr lang="th-TH" sz="1100" b="0" i="0" u="none" strike="noStrike" baseline="0">
            <a:solidFill>
              <a:srgbClr val="000000"/>
            </a:solidFill>
            <a:latin typeface="TH Niramit AS"/>
            <a:cs typeface="TH Niramit AS"/>
          </a:endParaRPr>
        </a:p>
      </xdr:txBody>
    </xdr:sp>
    <xdr:clientData/>
  </xdr:twoCellAnchor>
  <xdr:twoCellAnchor>
    <xdr:from>
      <xdr:col>9</xdr:col>
      <xdr:colOff>28574</xdr:colOff>
      <xdr:row>61</xdr:row>
      <xdr:rowOff>133351</xdr:rowOff>
    </xdr:from>
    <xdr:to>
      <xdr:col>9</xdr:col>
      <xdr:colOff>1095375</xdr:colOff>
      <xdr:row>61</xdr:row>
      <xdr:rowOff>323850</xdr:rowOff>
    </xdr:to>
    <xdr:sp macro="" textlink="">
      <xdr:nvSpPr>
        <xdr:cNvPr id="7" name="Text Box 10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5514974" y="15106651"/>
          <a:ext cx="1066801" cy="19049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000" b="0" i="0" u="none" strike="noStrike" baseline="0">
              <a:solidFill>
                <a:srgbClr val="000000"/>
              </a:solidFill>
              <a:latin typeface="TH Niramit AS"/>
              <a:cs typeface="TH Niramit AS"/>
            </a:rPr>
            <a:t>ครั้งที่</a:t>
          </a:r>
          <a:r>
            <a:rPr lang="en-US" sz="1000" b="0" i="0" u="none" strike="noStrike" baseline="0">
              <a:solidFill>
                <a:srgbClr val="000000"/>
              </a:solidFill>
              <a:latin typeface="TH Niramit AS"/>
              <a:cs typeface="TH Niramit AS"/>
            </a:rPr>
            <a:t>1</a:t>
          </a:r>
          <a:r>
            <a:rPr lang="th-TH" sz="1000" b="0" i="0" u="none" strike="noStrike" baseline="0">
              <a:solidFill>
                <a:srgbClr val="000000"/>
              </a:solidFill>
              <a:latin typeface="TH Niramit AS"/>
              <a:cs typeface="TH Niramit AS"/>
            </a:rPr>
            <a:t>2/58 เมื่อ </a:t>
          </a:r>
          <a:r>
            <a:rPr lang="en-US" sz="1000" b="0" i="0" u="none" strike="noStrike" baseline="0">
              <a:solidFill>
                <a:srgbClr val="000000"/>
              </a:solidFill>
              <a:latin typeface="TH Niramit AS"/>
              <a:cs typeface="TH Niramit AS"/>
            </a:rPr>
            <a:t>17</a:t>
          </a:r>
          <a:r>
            <a:rPr lang="th-TH" sz="1000" b="0" i="0" u="none" strike="noStrike" baseline="0">
              <a:solidFill>
                <a:srgbClr val="000000"/>
              </a:solidFill>
              <a:latin typeface="TH Niramit AS"/>
              <a:cs typeface="TH Niramit AS"/>
            </a:rPr>
            <a:t> ธ.ค.58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16</xdr:row>
      <xdr:rowOff>19051</xdr:rowOff>
    </xdr:from>
    <xdr:to>
      <xdr:col>9</xdr:col>
      <xdr:colOff>1057275</xdr:colOff>
      <xdr:row>16</xdr:row>
      <xdr:rowOff>190501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5715000" y="3981451"/>
          <a:ext cx="102870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000" b="0" i="0" u="none" strike="noStrike" baseline="0">
              <a:solidFill>
                <a:srgbClr val="000000"/>
              </a:solidFill>
              <a:latin typeface="TH Niramit AS"/>
              <a:cs typeface="TH Niramit AS"/>
            </a:rPr>
            <a:t>ปรับตามมติ ก.อบต.จ.นศ</a:t>
          </a:r>
        </a:p>
        <a:p>
          <a:pPr algn="ctr" rtl="0">
            <a:defRPr sz="1000"/>
          </a:pPr>
          <a:endParaRPr lang="th-TH" sz="1000" b="0" i="0" u="none" strike="noStrike" baseline="0">
            <a:solidFill>
              <a:srgbClr val="000000"/>
            </a:solidFill>
            <a:latin typeface="TH Niramit AS"/>
            <a:cs typeface="TH Niramit AS"/>
          </a:endParaRPr>
        </a:p>
        <a:p>
          <a:pPr algn="ctr" rtl="0">
            <a:defRPr sz="1000"/>
          </a:pPr>
          <a:endParaRPr lang="th-TH" sz="1100" b="0" i="0" u="none" strike="noStrike" baseline="0">
            <a:solidFill>
              <a:srgbClr val="000000"/>
            </a:solidFill>
            <a:latin typeface="TH Niramit AS"/>
            <a:cs typeface="TH Niramit AS"/>
          </a:endParaRPr>
        </a:p>
        <a:p>
          <a:pPr algn="ctr" rtl="0">
            <a:defRPr sz="1000"/>
          </a:pPr>
          <a:endParaRPr lang="th-TH" sz="1100" b="0" i="0" u="none" strike="noStrike" baseline="0">
            <a:solidFill>
              <a:srgbClr val="000000"/>
            </a:solidFill>
            <a:latin typeface="TH Niramit AS"/>
            <a:cs typeface="TH Niramit AS"/>
          </a:endParaRPr>
        </a:p>
      </xdr:txBody>
    </xdr:sp>
    <xdr:clientData/>
  </xdr:twoCellAnchor>
  <xdr:twoCellAnchor>
    <xdr:from>
      <xdr:col>9</xdr:col>
      <xdr:colOff>19049</xdr:colOff>
      <xdr:row>16</xdr:row>
      <xdr:rowOff>171450</xdr:rowOff>
    </xdr:from>
    <xdr:to>
      <xdr:col>9</xdr:col>
      <xdr:colOff>1095375</xdr:colOff>
      <xdr:row>17</xdr:row>
      <xdr:rowOff>9525</xdr:rowOff>
    </xdr:to>
    <xdr:sp macro="" textlink="">
      <xdr:nvSpPr>
        <xdr:cNvPr id="4" name="Text Box 10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5705474" y="4133850"/>
          <a:ext cx="1076326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000" b="0" i="0" u="none" strike="noStrike" baseline="0">
              <a:solidFill>
                <a:srgbClr val="000000"/>
              </a:solidFill>
              <a:latin typeface="TH Niramit AS"/>
              <a:cs typeface="TH Niramit AS"/>
            </a:rPr>
            <a:t>ครั้งที่ 2/58 เมื่อ 24 ก.พ. 58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131"/>
  <sheetViews>
    <sheetView topLeftCell="A115" zoomScale="120" zoomScaleNormal="120" workbookViewId="0">
      <selection activeCell="A67" sqref="A67:M67"/>
    </sheetView>
  </sheetViews>
  <sheetFormatPr defaultRowHeight="15" x14ac:dyDescent="0.25"/>
  <cols>
    <col min="1" max="1" width="2.75" style="428" customWidth="1"/>
    <col min="2" max="2" width="18.625" style="100" customWidth="1"/>
    <col min="3" max="3" width="9.5" style="100" customWidth="1"/>
    <col min="4" max="4" width="8.125" style="100" customWidth="1"/>
    <col min="5" max="5" width="16.5" style="100" customWidth="1"/>
    <col min="6" max="6" width="5.25" style="100" customWidth="1"/>
    <col min="7" max="7" width="9.25" style="100" customWidth="1"/>
    <col min="8" max="8" width="17.25" style="100" customWidth="1"/>
    <col min="9" max="9" width="5.375" style="100" customWidth="1"/>
    <col min="10" max="10" width="9.375" style="100" bestFit="1" customWidth="1"/>
    <col min="11" max="11" width="9" style="100" customWidth="1"/>
    <col min="12" max="12" width="8.625" style="100" customWidth="1"/>
    <col min="13" max="13" width="7.875" style="100" customWidth="1"/>
    <col min="14" max="16384" width="9" style="100"/>
  </cols>
  <sheetData>
    <row r="1" spans="1:13" x14ac:dyDescent="0.25">
      <c r="A1" s="431"/>
      <c r="B1" s="101" t="s">
        <v>385</v>
      </c>
      <c r="G1" s="431"/>
      <c r="H1" s="431"/>
      <c r="I1" s="431"/>
      <c r="J1" s="431"/>
      <c r="K1" s="431"/>
      <c r="L1" s="431"/>
      <c r="M1" s="431"/>
    </row>
    <row r="2" spans="1:13" x14ac:dyDescent="0.25">
      <c r="A2" s="431"/>
      <c r="B2" s="101" t="s">
        <v>386</v>
      </c>
      <c r="C2" s="101"/>
      <c r="D2" s="101"/>
      <c r="E2" s="101"/>
      <c r="G2" s="431"/>
      <c r="H2" s="431"/>
      <c r="I2" s="431"/>
      <c r="J2" s="431"/>
      <c r="K2" s="431"/>
      <c r="L2" s="431"/>
      <c r="M2" s="431"/>
    </row>
    <row r="4" spans="1:13" x14ac:dyDescent="0.25">
      <c r="A4" s="436" t="s">
        <v>5</v>
      </c>
      <c r="B4" s="436" t="s">
        <v>73</v>
      </c>
      <c r="C4" s="349" t="s">
        <v>74</v>
      </c>
      <c r="D4" s="439" t="s">
        <v>77</v>
      </c>
      <c r="E4" s="440"/>
      <c r="F4" s="440"/>
      <c r="G4" s="439" t="s">
        <v>78</v>
      </c>
      <c r="H4" s="440"/>
      <c r="I4" s="441"/>
      <c r="J4" s="442" t="s">
        <v>79</v>
      </c>
      <c r="K4" s="443"/>
      <c r="L4" s="444"/>
      <c r="M4" s="350"/>
    </row>
    <row r="5" spans="1:13" x14ac:dyDescent="0.25">
      <c r="A5" s="437"/>
      <c r="B5" s="437"/>
      <c r="C5" s="351" t="s">
        <v>75</v>
      </c>
      <c r="D5" s="436" t="s">
        <v>76</v>
      </c>
      <c r="E5" s="436" t="s">
        <v>9</v>
      </c>
      <c r="F5" s="436" t="s">
        <v>7</v>
      </c>
      <c r="G5" s="436" t="s">
        <v>76</v>
      </c>
      <c r="H5" s="436" t="s">
        <v>9</v>
      </c>
      <c r="I5" s="436" t="s">
        <v>7</v>
      </c>
      <c r="J5" s="436" t="s">
        <v>79</v>
      </c>
      <c r="K5" s="436" t="s">
        <v>80</v>
      </c>
      <c r="L5" s="349" t="s">
        <v>81</v>
      </c>
      <c r="M5" s="426" t="s">
        <v>59</v>
      </c>
    </row>
    <row r="6" spans="1:13" x14ac:dyDescent="0.25">
      <c r="A6" s="438"/>
      <c r="B6" s="438"/>
      <c r="C6" s="353"/>
      <c r="D6" s="438"/>
      <c r="E6" s="438"/>
      <c r="F6" s="438"/>
      <c r="G6" s="438"/>
      <c r="H6" s="438"/>
      <c r="I6" s="438"/>
      <c r="J6" s="438"/>
      <c r="K6" s="438"/>
      <c r="L6" s="354" t="s">
        <v>82</v>
      </c>
      <c r="M6" s="355"/>
    </row>
    <row r="7" spans="1:13" x14ac:dyDescent="0.25">
      <c r="A7" s="349">
        <v>1</v>
      </c>
      <c r="B7" s="350" t="s">
        <v>83</v>
      </c>
      <c r="C7" s="350" t="s">
        <v>324</v>
      </c>
      <c r="D7" s="350" t="s">
        <v>84</v>
      </c>
      <c r="E7" s="350" t="s">
        <v>85</v>
      </c>
      <c r="F7" s="349">
        <v>8</v>
      </c>
      <c r="G7" s="350" t="s">
        <v>319</v>
      </c>
      <c r="H7" s="350" t="s">
        <v>285</v>
      </c>
      <c r="I7" s="349" t="s">
        <v>321</v>
      </c>
      <c r="J7" s="356">
        <f>31290*12</f>
        <v>375480</v>
      </c>
      <c r="K7" s="356">
        <f>(5600*3)+(7000*9)</f>
        <v>79800</v>
      </c>
      <c r="L7" s="356">
        <f>(5600*3)+(7000*9)</f>
        <v>79800</v>
      </c>
      <c r="M7" s="357">
        <f>SUM(J7:L7)</f>
        <v>535080</v>
      </c>
    </row>
    <row r="8" spans="1:13" x14ac:dyDescent="0.25">
      <c r="A8" s="351"/>
      <c r="B8" s="358"/>
      <c r="C8" s="358"/>
      <c r="D8" s="358"/>
      <c r="E8" s="358" t="s">
        <v>86</v>
      </c>
      <c r="F8" s="351"/>
      <c r="G8" s="377"/>
      <c r="H8" s="358" t="s">
        <v>320</v>
      </c>
      <c r="I8" s="351"/>
      <c r="J8" s="359"/>
      <c r="K8" s="359"/>
      <c r="L8" s="359"/>
      <c r="M8" s="358"/>
    </row>
    <row r="9" spans="1:13" x14ac:dyDescent="0.25">
      <c r="A9" s="360">
        <v>2</v>
      </c>
      <c r="B9" s="379" t="s">
        <v>188</v>
      </c>
      <c r="C9" s="361"/>
      <c r="D9" s="361" t="s">
        <v>89</v>
      </c>
      <c r="E9" s="361" t="s">
        <v>85</v>
      </c>
      <c r="F9" s="360">
        <v>6</v>
      </c>
      <c r="G9" s="358" t="s">
        <v>322</v>
      </c>
      <c r="H9" s="361" t="s">
        <v>287</v>
      </c>
      <c r="I9" s="360" t="s">
        <v>323</v>
      </c>
      <c r="J9" s="362">
        <v>350370</v>
      </c>
      <c r="K9" s="362">
        <f>3500*12</f>
        <v>42000</v>
      </c>
      <c r="L9" s="362">
        <v>0</v>
      </c>
      <c r="M9" s="363">
        <f>SUM(J9:L9)</f>
        <v>392370</v>
      </c>
    </row>
    <row r="10" spans="1:13" ht="15.75" thickBot="1" x14ac:dyDescent="0.3">
      <c r="A10" s="364"/>
      <c r="B10" s="365"/>
      <c r="C10" s="365"/>
      <c r="D10" s="365"/>
      <c r="E10" s="365" t="s">
        <v>90</v>
      </c>
      <c r="F10" s="364"/>
      <c r="G10" s="365"/>
      <c r="H10" s="365" t="s">
        <v>320</v>
      </c>
      <c r="I10" s="364"/>
      <c r="J10" s="366"/>
      <c r="K10" s="366"/>
      <c r="L10" s="366"/>
      <c r="M10" s="365"/>
    </row>
    <row r="11" spans="1:13" x14ac:dyDescent="0.25">
      <c r="A11" s="351"/>
      <c r="B11" s="367" t="s">
        <v>186</v>
      </c>
      <c r="C11" s="358"/>
      <c r="D11" s="358"/>
      <c r="E11" s="358"/>
      <c r="F11" s="351"/>
      <c r="G11" s="358"/>
      <c r="H11" s="358"/>
      <c r="I11" s="351"/>
      <c r="J11" s="359"/>
      <c r="K11" s="359"/>
      <c r="L11" s="359"/>
      <c r="M11" s="358"/>
    </row>
    <row r="12" spans="1:13" x14ac:dyDescent="0.25">
      <c r="A12" s="351"/>
      <c r="B12" s="367" t="s">
        <v>187</v>
      </c>
      <c r="C12" s="358"/>
      <c r="D12" s="358"/>
      <c r="E12" s="358"/>
      <c r="F12" s="351"/>
      <c r="G12" s="358"/>
      <c r="H12" s="358"/>
      <c r="I12" s="351"/>
      <c r="J12" s="359"/>
      <c r="K12" s="359"/>
      <c r="L12" s="359"/>
      <c r="M12" s="358"/>
    </row>
    <row r="13" spans="1:13" x14ac:dyDescent="0.25">
      <c r="A13" s="351">
        <v>3</v>
      </c>
      <c r="B13" s="358" t="s">
        <v>325</v>
      </c>
      <c r="C13" s="358" t="s">
        <v>326</v>
      </c>
      <c r="D13" s="358" t="s">
        <v>92</v>
      </c>
      <c r="E13" s="358" t="s">
        <v>93</v>
      </c>
      <c r="F13" s="351">
        <v>7</v>
      </c>
      <c r="G13" s="358" t="s">
        <v>328</v>
      </c>
      <c r="H13" s="358" t="s">
        <v>290</v>
      </c>
      <c r="I13" s="351" t="s">
        <v>323</v>
      </c>
      <c r="J13" s="359">
        <f>26980*12</f>
        <v>323760</v>
      </c>
      <c r="K13" s="359">
        <f>3500*12</f>
        <v>42000</v>
      </c>
      <c r="L13" s="359">
        <v>0</v>
      </c>
      <c r="M13" s="368">
        <f>SUM(J13:L14)</f>
        <v>365760</v>
      </c>
    </row>
    <row r="14" spans="1:13" x14ac:dyDescent="0.25">
      <c r="A14" s="351"/>
      <c r="B14" s="358"/>
      <c r="C14" s="358" t="s">
        <v>327</v>
      </c>
      <c r="D14" s="358"/>
      <c r="E14" s="358" t="s">
        <v>94</v>
      </c>
      <c r="F14" s="351"/>
      <c r="G14" s="358"/>
      <c r="H14" s="358" t="s">
        <v>329</v>
      </c>
      <c r="I14" s="351"/>
      <c r="J14" s="359"/>
      <c r="K14" s="359"/>
      <c r="L14" s="359"/>
      <c r="M14" s="358"/>
    </row>
    <row r="15" spans="1:13" x14ac:dyDescent="0.25">
      <c r="A15" s="369">
        <v>4</v>
      </c>
      <c r="B15" s="370" t="s">
        <v>98</v>
      </c>
      <c r="C15" s="370" t="s">
        <v>330</v>
      </c>
      <c r="D15" s="370" t="s">
        <v>97</v>
      </c>
      <c r="E15" s="370" t="s">
        <v>95</v>
      </c>
      <c r="F15" s="369">
        <v>5</v>
      </c>
      <c r="G15" s="370" t="s">
        <v>332</v>
      </c>
      <c r="H15" s="370" t="s">
        <v>266</v>
      </c>
      <c r="I15" s="369" t="s">
        <v>267</v>
      </c>
      <c r="J15" s="25">
        <f>((22040*6)+(22170*6))</f>
        <v>265260</v>
      </c>
      <c r="K15" s="371">
        <v>0</v>
      </c>
      <c r="L15" s="371">
        <v>0</v>
      </c>
      <c r="M15" s="369"/>
    </row>
    <row r="16" spans="1:13" x14ac:dyDescent="0.25">
      <c r="A16" s="369">
        <v>5</v>
      </c>
      <c r="B16" s="370" t="s">
        <v>99</v>
      </c>
      <c r="C16" s="370" t="s">
        <v>331</v>
      </c>
      <c r="D16" s="370" t="s">
        <v>100</v>
      </c>
      <c r="E16" s="370" t="s">
        <v>16</v>
      </c>
      <c r="F16" s="369" t="s">
        <v>65</v>
      </c>
      <c r="G16" s="370" t="s">
        <v>333</v>
      </c>
      <c r="H16" s="370" t="s">
        <v>16</v>
      </c>
      <c r="I16" s="369" t="s">
        <v>267</v>
      </c>
      <c r="J16" s="25">
        <f>((23080*6)+(23080*6))</f>
        <v>276960</v>
      </c>
      <c r="K16" s="371">
        <v>0</v>
      </c>
      <c r="L16" s="371">
        <v>0</v>
      </c>
      <c r="M16" s="369"/>
    </row>
    <row r="17" spans="1:13" x14ac:dyDescent="0.25">
      <c r="A17" s="369">
        <v>6</v>
      </c>
      <c r="B17" s="380" t="s">
        <v>188</v>
      </c>
      <c r="C17" s="370"/>
      <c r="D17" s="370" t="s">
        <v>104</v>
      </c>
      <c r="E17" s="370" t="s">
        <v>105</v>
      </c>
      <c r="F17" s="369" t="s">
        <v>66</v>
      </c>
      <c r="G17" s="370" t="s">
        <v>334</v>
      </c>
      <c r="H17" s="370" t="s">
        <v>105</v>
      </c>
      <c r="I17" s="369" t="s">
        <v>268</v>
      </c>
      <c r="J17" s="371">
        <v>309000</v>
      </c>
      <c r="K17" s="371">
        <v>0</v>
      </c>
      <c r="L17" s="371">
        <v>0</v>
      </c>
      <c r="M17" s="369"/>
    </row>
    <row r="18" spans="1:13" x14ac:dyDescent="0.25">
      <c r="A18" s="369">
        <v>7</v>
      </c>
      <c r="B18" s="370" t="s">
        <v>101</v>
      </c>
      <c r="C18" s="370" t="s">
        <v>335</v>
      </c>
      <c r="D18" s="370" t="s">
        <v>102</v>
      </c>
      <c r="E18" s="370" t="s">
        <v>17</v>
      </c>
      <c r="F18" s="369" t="s">
        <v>65</v>
      </c>
      <c r="G18" s="370" t="s">
        <v>336</v>
      </c>
      <c r="H18" s="370" t="s">
        <v>271</v>
      </c>
      <c r="I18" s="369" t="s">
        <v>267</v>
      </c>
      <c r="J18" s="25">
        <f>((26580*6)+(26980*6))</f>
        <v>321360</v>
      </c>
      <c r="K18" s="371">
        <v>0</v>
      </c>
      <c r="L18" s="371">
        <v>0</v>
      </c>
      <c r="M18" s="369"/>
    </row>
    <row r="19" spans="1:13" x14ac:dyDescent="0.25">
      <c r="A19" s="369">
        <v>8</v>
      </c>
      <c r="B19" s="378" t="s">
        <v>337</v>
      </c>
      <c r="C19" s="370" t="s">
        <v>338</v>
      </c>
      <c r="D19" s="370" t="s">
        <v>106</v>
      </c>
      <c r="E19" s="370" t="s">
        <v>107</v>
      </c>
      <c r="F19" s="369" t="s">
        <v>66</v>
      </c>
      <c r="G19" s="370" t="s">
        <v>339</v>
      </c>
      <c r="H19" s="370" t="s">
        <v>107</v>
      </c>
      <c r="I19" s="369" t="s">
        <v>269</v>
      </c>
      <c r="J19" s="372">
        <f>(7140+33310)/2*12</f>
        <v>242700</v>
      </c>
      <c r="K19" s="371">
        <v>0</v>
      </c>
      <c r="L19" s="371">
        <v>0</v>
      </c>
      <c r="M19" s="369"/>
    </row>
    <row r="20" spans="1:13" x14ac:dyDescent="0.25">
      <c r="A20" s="369">
        <v>9</v>
      </c>
      <c r="B20" s="380" t="s">
        <v>188</v>
      </c>
      <c r="C20" s="370"/>
      <c r="D20" s="369" t="s">
        <v>182</v>
      </c>
      <c r="E20" s="378" t="s">
        <v>179</v>
      </c>
      <c r="F20" s="369" t="s">
        <v>66</v>
      </c>
      <c r="G20" s="370" t="s">
        <v>346</v>
      </c>
      <c r="H20" s="370" t="s">
        <v>179</v>
      </c>
      <c r="I20" s="369" t="s">
        <v>268</v>
      </c>
      <c r="J20" s="25">
        <v>309000</v>
      </c>
      <c r="K20" s="371">
        <v>0</v>
      </c>
      <c r="L20" s="371">
        <v>0</v>
      </c>
      <c r="M20" s="369"/>
    </row>
    <row r="21" spans="1:13" x14ac:dyDescent="0.25">
      <c r="A21" s="369">
        <v>10</v>
      </c>
      <c r="B21" s="370" t="s">
        <v>340</v>
      </c>
      <c r="C21" s="370" t="s">
        <v>335</v>
      </c>
      <c r="D21" s="369" t="s">
        <v>181</v>
      </c>
      <c r="E21" s="378" t="s">
        <v>180</v>
      </c>
      <c r="F21" s="369">
        <v>4</v>
      </c>
      <c r="G21" s="370" t="s">
        <v>341</v>
      </c>
      <c r="H21" s="370" t="s">
        <v>273</v>
      </c>
      <c r="I21" s="369" t="s">
        <v>269</v>
      </c>
      <c r="J21" s="25">
        <f>((18480*6)+(18520*6))</f>
        <v>222000</v>
      </c>
      <c r="K21" s="371">
        <v>0</v>
      </c>
      <c r="L21" s="371">
        <v>0</v>
      </c>
      <c r="M21" s="369"/>
    </row>
    <row r="22" spans="1:13" x14ac:dyDescent="0.25">
      <c r="A22" s="369">
        <v>11</v>
      </c>
      <c r="B22" s="380" t="s">
        <v>188</v>
      </c>
      <c r="C22" s="370"/>
      <c r="D22" s="370" t="s">
        <v>108</v>
      </c>
      <c r="E22" s="378" t="s">
        <v>109</v>
      </c>
      <c r="F22" s="373" t="s">
        <v>110</v>
      </c>
      <c r="G22" s="370" t="s">
        <v>342</v>
      </c>
      <c r="H22" s="370" t="s">
        <v>109</v>
      </c>
      <c r="I22" s="373" t="s">
        <v>270</v>
      </c>
      <c r="J22" s="372">
        <v>256440</v>
      </c>
      <c r="K22" s="371">
        <v>0</v>
      </c>
      <c r="L22" s="371">
        <v>0</v>
      </c>
      <c r="M22" s="369"/>
    </row>
    <row r="23" spans="1:13" x14ac:dyDescent="0.25">
      <c r="A23" s="369">
        <v>12</v>
      </c>
      <c r="B23" s="380" t="s">
        <v>188</v>
      </c>
      <c r="C23" s="370"/>
      <c r="D23" s="369" t="s">
        <v>244</v>
      </c>
      <c r="E23" s="378" t="s">
        <v>243</v>
      </c>
      <c r="F23" s="374" t="s">
        <v>110</v>
      </c>
      <c r="G23" s="369" t="s">
        <v>343</v>
      </c>
      <c r="H23" s="370" t="s">
        <v>243</v>
      </c>
      <c r="I23" s="373" t="s">
        <v>270</v>
      </c>
      <c r="J23" s="372">
        <v>256440</v>
      </c>
      <c r="K23" s="371">
        <v>0</v>
      </c>
      <c r="L23" s="371">
        <v>0</v>
      </c>
      <c r="M23" s="369"/>
    </row>
    <row r="24" spans="1:13" x14ac:dyDescent="0.25">
      <c r="A24" s="369">
        <v>13</v>
      </c>
      <c r="B24" s="370" t="s">
        <v>183</v>
      </c>
      <c r="C24" s="370" t="s">
        <v>347</v>
      </c>
      <c r="D24" s="370" t="s">
        <v>112</v>
      </c>
      <c r="E24" s="370" t="s">
        <v>13</v>
      </c>
      <c r="F24" s="374" t="s">
        <v>111</v>
      </c>
      <c r="G24" s="370" t="s">
        <v>344</v>
      </c>
      <c r="H24" s="370" t="s">
        <v>274</v>
      </c>
      <c r="I24" s="374" t="s">
        <v>272</v>
      </c>
      <c r="J24" s="25">
        <f>((11490*6)+(11510*6))</f>
        <v>138000</v>
      </c>
      <c r="K24" s="371">
        <v>0</v>
      </c>
      <c r="L24" s="371">
        <v>0</v>
      </c>
      <c r="M24" s="369"/>
    </row>
    <row r="25" spans="1:13" x14ac:dyDescent="0.25">
      <c r="A25" s="369">
        <v>14</v>
      </c>
      <c r="B25" s="370" t="s">
        <v>113</v>
      </c>
      <c r="C25" s="370" t="s">
        <v>348</v>
      </c>
      <c r="D25" s="370" t="s">
        <v>122</v>
      </c>
      <c r="E25" s="370" t="s">
        <v>345</v>
      </c>
      <c r="F25" s="369" t="s">
        <v>175</v>
      </c>
      <c r="G25" s="370" t="s">
        <v>122</v>
      </c>
      <c r="H25" s="370" t="s">
        <v>345</v>
      </c>
      <c r="I25" s="369" t="s">
        <v>175</v>
      </c>
      <c r="J25" s="372">
        <v>0</v>
      </c>
      <c r="K25" s="372">
        <v>0</v>
      </c>
      <c r="L25" s="372">
        <v>0</v>
      </c>
      <c r="M25" s="369"/>
    </row>
    <row r="26" spans="1:13" x14ac:dyDescent="0.25">
      <c r="A26" s="369">
        <v>15</v>
      </c>
      <c r="B26" s="370" t="s">
        <v>114</v>
      </c>
      <c r="C26" s="370" t="s">
        <v>349</v>
      </c>
      <c r="D26" s="370" t="s">
        <v>123</v>
      </c>
      <c r="E26" s="370" t="s">
        <v>345</v>
      </c>
      <c r="F26" s="369" t="s">
        <v>175</v>
      </c>
      <c r="G26" s="370" t="s">
        <v>123</v>
      </c>
      <c r="H26" s="370" t="s">
        <v>345</v>
      </c>
      <c r="I26" s="369" t="s">
        <v>175</v>
      </c>
      <c r="J26" s="372">
        <v>0</v>
      </c>
      <c r="K26" s="372">
        <v>0</v>
      </c>
      <c r="L26" s="372">
        <v>0</v>
      </c>
      <c r="M26" s="369"/>
    </row>
    <row r="27" spans="1:13" x14ac:dyDescent="0.25">
      <c r="A27" s="369">
        <v>16</v>
      </c>
      <c r="B27" s="370" t="s">
        <v>115</v>
      </c>
      <c r="C27" s="370" t="s">
        <v>350</v>
      </c>
      <c r="D27" s="370" t="s">
        <v>124</v>
      </c>
      <c r="E27" s="370" t="s">
        <v>345</v>
      </c>
      <c r="F27" s="369" t="s">
        <v>175</v>
      </c>
      <c r="G27" s="370" t="s">
        <v>124</v>
      </c>
      <c r="H27" s="370" t="s">
        <v>345</v>
      </c>
      <c r="I27" s="369" t="s">
        <v>175</v>
      </c>
      <c r="J27" s="372">
        <v>0</v>
      </c>
      <c r="K27" s="372">
        <v>0</v>
      </c>
      <c r="L27" s="372">
        <v>0</v>
      </c>
      <c r="M27" s="369"/>
    </row>
    <row r="28" spans="1:13" x14ac:dyDescent="0.25">
      <c r="A28" s="369">
        <v>17</v>
      </c>
      <c r="B28" s="370" t="s">
        <v>116</v>
      </c>
      <c r="C28" s="370" t="s">
        <v>350</v>
      </c>
      <c r="D28" s="370" t="s">
        <v>119</v>
      </c>
      <c r="E28" s="370" t="s">
        <v>345</v>
      </c>
      <c r="F28" s="369" t="s">
        <v>175</v>
      </c>
      <c r="G28" s="370" t="s">
        <v>119</v>
      </c>
      <c r="H28" s="370" t="s">
        <v>345</v>
      </c>
      <c r="I28" s="369" t="s">
        <v>175</v>
      </c>
      <c r="J28" s="372">
        <v>0</v>
      </c>
      <c r="K28" s="372">
        <v>0</v>
      </c>
      <c r="L28" s="372">
        <v>0</v>
      </c>
      <c r="M28" s="369"/>
    </row>
    <row r="29" spans="1:13" x14ac:dyDescent="0.25">
      <c r="A29" s="369">
        <v>18</v>
      </c>
      <c r="B29" s="370" t="s">
        <v>117</v>
      </c>
      <c r="C29" s="370" t="s">
        <v>350</v>
      </c>
      <c r="D29" s="370" t="s">
        <v>120</v>
      </c>
      <c r="E29" s="370" t="s">
        <v>345</v>
      </c>
      <c r="F29" s="369" t="s">
        <v>175</v>
      </c>
      <c r="G29" s="370" t="s">
        <v>120</v>
      </c>
      <c r="H29" s="370" t="s">
        <v>345</v>
      </c>
      <c r="I29" s="369" t="s">
        <v>175</v>
      </c>
      <c r="J29" s="372">
        <v>0</v>
      </c>
      <c r="K29" s="372">
        <v>0</v>
      </c>
      <c r="L29" s="372">
        <v>0</v>
      </c>
      <c r="M29" s="369"/>
    </row>
    <row r="30" spans="1:13" x14ac:dyDescent="0.25">
      <c r="A30" s="360">
        <v>19</v>
      </c>
      <c r="B30" s="361" t="s">
        <v>118</v>
      </c>
      <c r="C30" s="361" t="s">
        <v>184</v>
      </c>
      <c r="D30" s="361" t="s">
        <v>121</v>
      </c>
      <c r="E30" s="361" t="s">
        <v>345</v>
      </c>
      <c r="F30" s="360" t="s">
        <v>175</v>
      </c>
      <c r="G30" s="361" t="s">
        <v>121</v>
      </c>
      <c r="H30" s="361" t="s">
        <v>345</v>
      </c>
      <c r="I30" s="360" t="s">
        <v>175</v>
      </c>
      <c r="J30" s="381">
        <v>0</v>
      </c>
      <c r="K30" s="381">
        <v>0</v>
      </c>
      <c r="L30" s="381">
        <v>0</v>
      </c>
      <c r="M30" s="360"/>
    </row>
    <row r="31" spans="1:13" x14ac:dyDescent="0.25">
      <c r="A31" s="376">
        <v>20</v>
      </c>
      <c r="B31" s="423" t="s">
        <v>188</v>
      </c>
      <c r="C31" s="375"/>
      <c r="D31" s="375"/>
      <c r="E31" s="375" t="s">
        <v>257</v>
      </c>
      <c r="F31" s="376" t="s">
        <v>175</v>
      </c>
      <c r="G31" s="375" t="s">
        <v>122</v>
      </c>
      <c r="H31" s="375" t="s">
        <v>257</v>
      </c>
      <c r="I31" s="360" t="s">
        <v>175</v>
      </c>
      <c r="J31" s="381">
        <v>0</v>
      </c>
      <c r="K31" s="381">
        <v>0</v>
      </c>
      <c r="L31" s="381">
        <v>0</v>
      </c>
      <c r="M31" s="376"/>
    </row>
    <row r="32" spans="1:13" ht="9" customHeight="1" x14ac:dyDescent="0.25">
      <c r="A32" s="430"/>
      <c r="B32" s="156"/>
      <c r="C32" s="156"/>
      <c r="D32" s="156"/>
      <c r="E32" s="156"/>
      <c r="F32" s="430"/>
      <c r="G32" s="156"/>
      <c r="H32" s="156"/>
      <c r="I32" s="430"/>
      <c r="J32" s="157"/>
      <c r="K32" s="157"/>
      <c r="L32" s="157"/>
      <c r="M32" s="235"/>
    </row>
    <row r="33" spans="1:13" ht="20.25" x14ac:dyDescent="0.25">
      <c r="A33" s="281"/>
      <c r="B33" s="281"/>
      <c r="C33" s="281"/>
      <c r="D33" s="281"/>
      <c r="E33" s="281"/>
      <c r="F33" s="281"/>
      <c r="G33" s="281"/>
      <c r="H33" s="281"/>
      <c r="I33" s="281"/>
      <c r="J33" s="281"/>
      <c r="K33" s="281"/>
      <c r="L33" s="281"/>
      <c r="M33" s="432">
        <v>27</v>
      </c>
    </row>
    <row r="34" spans="1:13" ht="6.75" customHeight="1" x14ac:dyDescent="0.25">
      <c r="A34" s="435"/>
      <c r="B34" s="435"/>
      <c r="C34" s="435"/>
      <c r="D34" s="435"/>
      <c r="E34" s="435"/>
      <c r="F34" s="435"/>
      <c r="G34" s="435"/>
      <c r="H34" s="435"/>
      <c r="I34" s="435"/>
      <c r="J34" s="435"/>
      <c r="K34" s="435"/>
      <c r="L34" s="435"/>
      <c r="M34" s="435"/>
    </row>
    <row r="35" spans="1:13" x14ac:dyDescent="0.25">
      <c r="A35" s="429"/>
      <c r="B35" s="128"/>
      <c r="C35" s="128"/>
      <c r="D35" s="128"/>
      <c r="E35" s="128"/>
      <c r="F35" s="128"/>
      <c r="G35" s="128"/>
      <c r="H35" s="128"/>
      <c r="I35" s="429"/>
      <c r="J35" s="128"/>
      <c r="K35" s="128"/>
      <c r="L35" s="128"/>
      <c r="M35" s="128"/>
    </row>
    <row r="36" spans="1:13" x14ac:dyDescent="0.25">
      <c r="A36" s="436" t="s">
        <v>5</v>
      </c>
      <c r="B36" s="436" t="s">
        <v>73</v>
      </c>
      <c r="C36" s="349" t="s">
        <v>74</v>
      </c>
      <c r="D36" s="439" t="s">
        <v>77</v>
      </c>
      <c r="E36" s="440"/>
      <c r="F36" s="440"/>
      <c r="G36" s="439" t="s">
        <v>78</v>
      </c>
      <c r="H36" s="440"/>
      <c r="I36" s="441"/>
      <c r="J36" s="442" t="s">
        <v>79</v>
      </c>
      <c r="K36" s="443"/>
      <c r="L36" s="444"/>
      <c r="M36" s="350"/>
    </row>
    <row r="37" spans="1:13" x14ac:dyDescent="0.25">
      <c r="A37" s="437"/>
      <c r="B37" s="437"/>
      <c r="C37" s="351" t="s">
        <v>75</v>
      </c>
      <c r="D37" s="436" t="s">
        <v>76</v>
      </c>
      <c r="E37" s="436" t="s">
        <v>9</v>
      </c>
      <c r="F37" s="436" t="s">
        <v>7</v>
      </c>
      <c r="G37" s="436" t="s">
        <v>76</v>
      </c>
      <c r="H37" s="436" t="s">
        <v>9</v>
      </c>
      <c r="I37" s="436" t="s">
        <v>7</v>
      </c>
      <c r="J37" s="436" t="s">
        <v>79</v>
      </c>
      <c r="K37" s="436" t="s">
        <v>80</v>
      </c>
      <c r="L37" s="349" t="s">
        <v>81</v>
      </c>
      <c r="M37" s="426" t="s">
        <v>59</v>
      </c>
    </row>
    <row r="38" spans="1:13" x14ac:dyDescent="0.25">
      <c r="A38" s="438"/>
      <c r="B38" s="438"/>
      <c r="C38" s="353"/>
      <c r="D38" s="438"/>
      <c r="E38" s="438"/>
      <c r="F38" s="438"/>
      <c r="G38" s="438"/>
      <c r="H38" s="438"/>
      <c r="I38" s="438"/>
      <c r="J38" s="438"/>
      <c r="K38" s="438"/>
      <c r="L38" s="354" t="s">
        <v>82</v>
      </c>
      <c r="M38" s="355"/>
    </row>
    <row r="39" spans="1:13" x14ac:dyDescent="0.25">
      <c r="A39" s="425"/>
      <c r="B39" s="385" t="s">
        <v>41</v>
      </c>
      <c r="C39" s="350"/>
      <c r="D39" s="425"/>
      <c r="E39" s="425"/>
      <c r="F39" s="425"/>
      <c r="G39" s="425"/>
      <c r="H39" s="425"/>
      <c r="I39" s="425"/>
      <c r="J39" s="425"/>
      <c r="K39" s="425"/>
      <c r="L39" s="349"/>
      <c r="M39" s="386"/>
    </row>
    <row r="40" spans="1:13" x14ac:dyDescent="0.25">
      <c r="A40" s="387">
        <v>21</v>
      </c>
      <c r="B40" s="377" t="s">
        <v>125</v>
      </c>
      <c r="C40" s="377" t="s">
        <v>350</v>
      </c>
      <c r="D40" s="387" t="s">
        <v>175</v>
      </c>
      <c r="E40" s="377" t="s">
        <v>51</v>
      </c>
      <c r="F40" s="387" t="s">
        <v>175</v>
      </c>
      <c r="G40" s="387" t="s">
        <v>175</v>
      </c>
      <c r="H40" s="377" t="s">
        <v>51</v>
      </c>
      <c r="I40" s="387" t="s">
        <v>175</v>
      </c>
      <c r="J40" s="403">
        <v>0</v>
      </c>
      <c r="K40" s="403">
        <v>0</v>
      </c>
      <c r="L40" s="403">
        <v>0</v>
      </c>
      <c r="M40" s="377"/>
    </row>
    <row r="41" spans="1:13" x14ac:dyDescent="0.25">
      <c r="A41" s="369">
        <v>22</v>
      </c>
      <c r="B41" s="370" t="s">
        <v>126</v>
      </c>
      <c r="C41" s="370" t="s">
        <v>350</v>
      </c>
      <c r="D41" s="387" t="s">
        <v>175</v>
      </c>
      <c r="E41" s="370" t="s">
        <v>50</v>
      </c>
      <c r="F41" s="387" t="s">
        <v>175</v>
      </c>
      <c r="G41" s="387" t="s">
        <v>175</v>
      </c>
      <c r="H41" s="370" t="s">
        <v>50</v>
      </c>
      <c r="I41" s="387" t="s">
        <v>175</v>
      </c>
      <c r="J41" s="372">
        <v>0</v>
      </c>
      <c r="K41" s="372">
        <v>0</v>
      </c>
      <c r="L41" s="372">
        <v>0</v>
      </c>
      <c r="M41" s="370"/>
    </row>
    <row r="42" spans="1:13" x14ac:dyDescent="0.25">
      <c r="A42" s="369">
        <v>23</v>
      </c>
      <c r="B42" s="370" t="s">
        <v>127</v>
      </c>
      <c r="C42" s="370" t="s">
        <v>350</v>
      </c>
      <c r="D42" s="387" t="s">
        <v>175</v>
      </c>
      <c r="E42" s="370" t="s">
        <v>50</v>
      </c>
      <c r="F42" s="387" t="s">
        <v>175</v>
      </c>
      <c r="G42" s="387" t="s">
        <v>175</v>
      </c>
      <c r="H42" s="370" t="s">
        <v>50</v>
      </c>
      <c r="I42" s="387" t="s">
        <v>175</v>
      </c>
      <c r="J42" s="372">
        <v>0</v>
      </c>
      <c r="K42" s="372">
        <v>0</v>
      </c>
      <c r="L42" s="372">
        <v>0</v>
      </c>
      <c r="M42" s="370"/>
    </row>
    <row r="43" spans="1:13" x14ac:dyDescent="0.25">
      <c r="A43" s="387">
        <v>24</v>
      </c>
      <c r="B43" s="370" t="s">
        <v>128</v>
      </c>
      <c r="C43" s="370" t="s">
        <v>350</v>
      </c>
      <c r="D43" s="387" t="s">
        <v>175</v>
      </c>
      <c r="E43" s="370" t="s">
        <v>50</v>
      </c>
      <c r="F43" s="387" t="s">
        <v>175</v>
      </c>
      <c r="G43" s="387" t="s">
        <v>175</v>
      </c>
      <c r="H43" s="370" t="s">
        <v>50</v>
      </c>
      <c r="I43" s="387" t="s">
        <v>175</v>
      </c>
      <c r="J43" s="372">
        <v>0</v>
      </c>
      <c r="K43" s="372">
        <v>0</v>
      </c>
      <c r="L43" s="372">
        <v>0</v>
      </c>
      <c r="M43" s="370"/>
    </row>
    <row r="44" spans="1:13" x14ac:dyDescent="0.25">
      <c r="A44" s="369">
        <v>25</v>
      </c>
      <c r="B44" s="370" t="s">
        <v>129</v>
      </c>
      <c r="C44" s="370" t="s">
        <v>351</v>
      </c>
      <c r="D44" s="387" t="s">
        <v>175</v>
      </c>
      <c r="E44" s="370" t="s">
        <v>52</v>
      </c>
      <c r="F44" s="387" t="s">
        <v>175</v>
      </c>
      <c r="G44" s="387" t="s">
        <v>175</v>
      </c>
      <c r="H44" s="370" t="s">
        <v>52</v>
      </c>
      <c r="I44" s="387" t="s">
        <v>175</v>
      </c>
      <c r="J44" s="25">
        <f>16890*12</f>
        <v>202680</v>
      </c>
      <c r="K44" s="371">
        <v>0</v>
      </c>
      <c r="L44" s="371">
        <v>0</v>
      </c>
      <c r="M44" s="370"/>
    </row>
    <row r="45" spans="1:13" x14ac:dyDescent="0.25">
      <c r="A45" s="369">
        <v>26</v>
      </c>
      <c r="B45" s="380" t="s">
        <v>188</v>
      </c>
      <c r="C45" s="370"/>
      <c r="D45" s="387" t="s">
        <v>175</v>
      </c>
      <c r="E45" s="369" t="s">
        <v>193</v>
      </c>
      <c r="F45" s="387" t="s">
        <v>175</v>
      </c>
      <c r="G45" s="387" t="s">
        <v>175</v>
      </c>
      <c r="H45" s="388" t="s">
        <v>193</v>
      </c>
      <c r="I45" s="387" t="s">
        <v>175</v>
      </c>
      <c r="J45" s="414">
        <f>11500*12</f>
        <v>138000</v>
      </c>
      <c r="K45" s="371">
        <v>0</v>
      </c>
      <c r="L45" s="371">
        <v>0</v>
      </c>
      <c r="M45" s="369"/>
    </row>
    <row r="46" spans="1:13" x14ac:dyDescent="0.25">
      <c r="A46" s="387">
        <v>27</v>
      </c>
      <c r="B46" s="370" t="s">
        <v>130</v>
      </c>
      <c r="C46" s="370" t="s">
        <v>352</v>
      </c>
      <c r="D46" s="387" t="s">
        <v>175</v>
      </c>
      <c r="E46" s="370" t="s">
        <v>49</v>
      </c>
      <c r="F46" s="387" t="s">
        <v>175</v>
      </c>
      <c r="G46" s="387" t="s">
        <v>175</v>
      </c>
      <c r="H46" s="370" t="s">
        <v>49</v>
      </c>
      <c r="I46" s="387" t="s">
        <v>175</v>
      </c>
      <c r="J46" s="25">
        <f>12320*12</f>
        <v>147840</v>
      </c>
      <c r="K46" s="371">
        <v>0</v>
      </c>
      <c r="L46" s="371">
        <v>0</v>
      </c>
      <c r="M46" s="370"/>
    </row>
    <row r="47" spans="1:13" x14ac:dyDescent="0.25">
      <c r="A47" s="369">
        <v>28</v>
      </c>
      <c r="B47" s="370" t="s">
        <v>131</v>
      </c>
      <c r="C47" s="370" t="s">
        <v>171</v>
      </c>
      <c r="D47" s="387" t="s">
        <v>175</v>
      </c>
      <c r="E47" s="370" t="s">
        <v>48</v>
      </c>
      <c r="F47" s="387" t="s">
        <v>175</v>
      </c>
      <c r="G47" s="387" t="s">
        <v>175</v>
      </c>
      <c r="H47" s="370" t="s">
        <v>48</v>
      </c>
      <c r="I47" s="387" t="s">
        <v>175</v>
      </c>
      <c r="J47" s="25">
        <f>11420*12</f>
        <v>137040</v>
      </c>
      <c r="K47" s="371">
        <v>0</v>
      </c>
      <c r="L47" s="371">
        <v>0</v>
      </c>
      <c r="M47" s="370"/>
    </row>
    <row r="48" spans="1:13" x14ac:dyDescent="0.25">
      <c r="A48" s="369">
        <v>29</v>
      </c>
      <c r="B48" s="370" t="s">
        <v>133</v>
      </c>
      <c r="C48" s="370" t="s">
        <v>171</v>
      </c>
      <c r="D48" s="387" t="s">
        <v>175</v>
      </c>
      <c r="E48" s="370" t="s">
        <v>132</v>
      </c>
      <c r="F48" s="387" t="s">
        <v>175</v>
      </c>
      <c r="G48" s="387" t="s">
        <v>175</v>
      </c>
      <c r="H48" s="370" t="s">
        <v>132</v>
      </c>
      <c r="I48" s="387" t="s">
        <v>175</v>
      </c>
      <c r="J48" s="25">
        <f>10480*12</f>
        <v>125760</v>
      </c>
      <c r="K48" s="371">
        <v>0</v>
      </c>
      <c r="L48" s="371">
        <v>0</v>
      </c>
      <c r="M48" s="370"/>
    </row>
    <row r="49" spans="1:13" x14ac:dyDescent="0.25">
      <c r="A49" s="387">
        <v>30</v>
      </c>
      <c r="B49" s="370" t="s">
        <v>353</v>
      </c>
      <c r="C49" s="370" t="s">
        <v>171</v>
      </c>
      <c r="D49" s="387" t="s">
        <v>175</v>
      </c>
      <c r="E49" s="415" t="s">
        <v>194</v>
      </c>
      <c r="F49" s="387" t="s">
        <v>175</v>
      </c>
      <c r="G49" s="387" t="s">
        <v>175</v>
      </c>
      <c r="H49" s="370" t="s">
        <v>194</v>
      </c>
      <c r="I49" s="387" t="s">
        <v>175</v>
      </c>
      <c r="J49" s="25">
        <f>9400*12</f>
        <v>112800</v>
      </c>
      <c r="K49" s="371">
        <v>0</v>
      </c>
      <c r="L49" s="371">
        <v>0</v>
      </c>
      <c r="M49" s="370"/>
    </row>
    <row r="50" spans="1:13" x14ac:dyDescent="0.25">
      <c r="A50" s="351"/>
      <c r="B50" s="367" t="s">
        <v>38</v>
      </c>
      <c r="C50" s="358"/>
      <c r="D50" s="351"/>
      <c r="E50" s="358"/>
      <c r="F50" s="351"/>
      <c r="G50" s="351"/>
      <c r="H50" s="358"/>
      <c r="I50" s="351"/>
      <c r="J50" s="359"/>
      <c r="K50" s="359"/>
      <c r="L50" s="359"/>
      <c r="M50" s="358"/>
    </row>
    <row r="51" spans="1:13" x14ac:dyDescent="0.25">
      <c r="A51" s="387">
        <v>31</v>
      </c>
      <c r="B51" s="377" t="s">
        <v>134</v>
      </c>
      <c r="C51" s="377"/>
      <c r="D51" s="387" t="s">
        <v>175</v>
      </c>
      <c r="E51" s="377" t="s">
        <v>46</v>
      </c>
      <c r="F51" s="387" t="s">
        <v>175</v>
      </c>
      <c r="G51" s="387" t="s">
        <v>175</v>
      </c>
      <c r="H51" s="377" t="s">
        <v>46</v>
      </c>
      <c r="I51" s="387" t="s">
        <v>175</v>
      </c>
      <c r="J51" s="36">
        <f>12810*12</f>
        <v>153720</v>
      </c>
      <c r="K51" s="389">
        <v>0</v>
      </c>
      <c r="L51" s="389">
        <v>0</v>
      </c>
      <c r="M51" s="377"/>
    </row>
    <row r="52" spans="1:13" x14ac:dyDescent="0.25">
      <c r="A52" s="351"/>
      <c r="B52" s="367" t="s">
        <v>36</v>
      </c>
      <c r="C52" s="358"/>
      <c r="D52" s="360"/>
      <c r="E52" s="358"/>
      <c r="F52" s="360"/>
      <c r="G52" s="360"/>
      <c r="H52" s="358"/>
      <c r="I52" s="360"/>
      <c r="J52" s="359"/>
      <c r="K52" s="359"/>
      <c r="L52" s="359"/>
      <c r="M52" s="358"/>
    </row>
    <row r="53" spans="1:13" x14ac:dyDescent="0.25">
      <c r="A53" s="387">
        <v>32</v>
      </c>
      <c r="B53" s="377" t="s">
        <v>135</v>
      </c>
      <c r="C53" s="377"/>
      <c r="D53" s="387" t="s">
        <v>175</v>
      </c>
      <c r="E53" s="390" t="s">
        <v>47</v>
      </c>
      <c r="F53" s="387" t="s">
        <v>175</v>
      </c>
      <c r="G53" s="387" t="s">
        <v>175</v>
      </c>
      <c r="H53" s="390" t="s">
        <v>47</v>
      </c>
      <c r="I53" s="387" t="s">
        <v>175</v>
      </c>
      <c r="J53" s="389">
        <f>9000*12</f>
        <v>108000</v>
      </c>
      <c r="K53" s="389">
        <v>0</v>
      </c>
      <c r="L53" s="389">
        <v>0</v>
      </c>
      <c r="M53" s="358"/>
    </row>
    <row r="54" spans="1:13" x14ac:dyDescent="0.25">
      <c r="A54" s="369">
        <v>33</v>
      </c>
      <c r="B54" s="370" t="s">
        <v>136</v>
      </c>
      <c r="C54" s="370"/>
      <c r="D54" s="387" t="s">
        <v>175</v>
      </c>
      <c r="E54" s="388" t="s">
        <v>47</v>
      </c>
      <c r="F54" s="387" t="s">
        <v>175</v>
      </c>
      <c r="G54" s="387" t="s">
        <v>175</v>
      </c>
      <c r="H54" s="388" t="s">
        <v>47</v>
      </c>
      <c r="I54" s="387" t="s">
        <v>175</v>
      </c>
      <c r="J54" s="371">
        <f>9000*12</f>
        <v>108000</v>
      </c>
      <c r="K54" s="371">
        <v>0</v>
      </c>
      <c r="L54" s="371">
        <v>0</v>
      </c>
      <c r="M54" s="370"/>
    </row>
    <row r="55" spans="1:13" x14ac:dyDescent="0.25">
      <c r="A55" s="369">
        <v>34</v>
      </c>
      <c r="B55" s="370" t="s">
        <v>137</v>
      </c>
      <c r="C55" s="370"/>
      <c r="D55" s="387" t="s">
        <v>175</v>
      </c>
      <c r="E55" s="370" t="s">
        <v>46</v>
      </c>
      <c r="F55" s="387" t="s">
        <v>175</v>
      </c>
      <c r="G55" s="387" t="s">
        <v>175</v>
      </c>
      <c r="H55" s="370" t="s">
        <v>46</v>
      </c>
      <c r="I55" s="387" t="s">
        <v>175</v>
      </c>
      <c r="J55" s="371">
        <f>9000*12</f>
        <v>108000</v>
      </c>
      <c r="K55" s="371">
        <v>0</v>
      </c>
      <c r="L55" s="371">
        <v>0</v>
      </c>
      <c r="M55" s="370"/>
    </row>
    <row r="56" spans="1:13" x14ac:dyDescent="0.25">
      <c r="A56" s="369">
        <v>35</v>
      </c>
      <c r="B56" s="370" t="s">
        <v>138</v>
      </c>
      <c r="C56" s="370"/>
      <c r="D56" s="369" t="s">
        <v>175</v>
      </c>
      <c r="E56" s="370" t="s">
        <v>45</v>
      </c>
      <c r="F56" s="369" t="s">
        <v>175</v>
      </c>
      <c r="G56" s="369" t="s">
        <v>175</v>
      </c>
      <c r="H56" s="370" t="s">
        <v>45</v>
      </c>
      <c r="I56" s="369" t="s">
        <v>175</v>
      </c>
      <c r="J56" s="371">
        <f>9000*12</f>
        <v>108000</v>
      </c>
      <c r="K56" s="371">
        <v>0</v>
      </c>
      <c r="L56" s="371">
        <v>0</v>
      </c>
      <c r="M56" s="370"/>
    </row>
    <row r="57" spans="1:13" ht="15.75" thickBot="1" x14ac:dyDescent="0.3">
      <c r="A57" s="391">
        <v>36</v>
      </c>
      <c r="B57" s="391" t="s">
        <v>188</v>
      </c>
      <c r="C57" s="392"/>
      <c r="D57" s="391" t="s">
        <v>175</v>
      </c>
      <c r="E57" s="392" t="s">
        <v>44</v>
      </c>
      <c r="F57" s="391" t="s">
        <v>175</v>
      </c>
      <c r="G57" s="391" t="s">
        <v>175</v>
      </c>
      <c r="H57" s="392" t="s">
        <v>44</v>
      </c>
      <c r="I57" s="391" t="s">
        <v>175</v>
      </c>
      <c r="J57" s="393">
        <f>9000*12</f>
        <v>108000</v>
      </c>
      <c r="K57" s="393">
        <v>0</v>
      </c>
      <c r="L57" s="393">
        <v>0</v>
      </c>
      <c r="M57" s="392"/>
    </row>
    <row r="58" spans="1:13" x14ac:dyDescent="0.25">
      <c r="A58" s="351"/>
      <c r="B58" s="367" t="s">
        <v>140</v>
      </c>
      <c r="C58" s="358"/>
      <c r="D58" s="358"/>
      <c r="E58" s="358"/>
      <c r="F58" s="358"/>
      <c r="G58" s="358"/>
      <c r="H58" s="358"/>
      <c r="I58" s="358"/>
      <c r="J58" s="359"/>
      <c r="K58" s="359"/>
      <c r="L58" s="359"/>
      <c r="M58" s="358"/>
    </row>
    <row r="59" spans="1:13" x14ac:dyDescent="0.25">
      <c r="A59" s="351"/>
      <c r="B59" s="367" t="s">
        <v>187</v>
      </c>
      <c r="C59" s="358"/>
      <c r="D59" s="358"/>
      <c r="E59" s="358"/>
      <c r="F59" s="358"/>
      <c r="G59" s="358"/>
      <c r="H59" s="358"/>
      <c r="I59" s="358"/>
      <c r="J59" s="359"/>
      <c r="K59" s="359"/>
      <c r="L59" s="359"/>
      <c r="M59" s="358"/>
    </row>
    <row r="60" spans="1:13" x14ac:dyDescent="0.25">
      <c r="A60" s="351">
        <v>37</v>
      </c>
      <c r="B60" s="358" t="s">
        <v>141</v>
      </c>
      <c r="C60" s="358" t="s">
        <v>354</v>
      </c>
      <c r="D60" s="358" t="s">
        <v>142</v>
      </c>
      <c r="E60" s="358" t="s">
        <v>301</v>
      </c>
      <c r="F60" s="351">
        <v>7</v>
      </c>
      <c r="G60" s="358" t="s">
        <v>355</v>
      </c>
      <c r="H60" s="358" t="s">
        <v>301</v>
      </c>
      <c r="I60" s="351" t="s">
        <v>323</v>
      </c>
      <c r="J60" s="36">
        <f>((29110*6)+(29110*6))+((3500*3)+(3500*9))</f>
        <v>391320</v>
      </c>
      <c r="K60" s="359">
        <f>3500*12</f>
        <v>42000</v>
      </c>
      <c r="L60" s="359">
        <v>0</v>
      </c>
      <c r="M60" s="368">
        <f>SUM(J60:L60)</f>
        <v>433320</v>
      </c>
    </row>
    <row r="61" spans="1:13" x14ac:dyDescent="0.25">
      <c r="A61" s="387"/>
      <c r="B61" s="377"/>
      <c r="C61" s="377"/>
      <c r="D61" s="377"/>
      <c r="E61" s="377" t="s">
        <v>356</v>
      </c>
      <c r="F61" s="387"/>
      <c r="G61" s="377"/>
      <c r="H61" s="377" t="s">
        <v>356</v>
      </c>
      <c r="I61" s="387"/>
      <c r="J61" s="389"/>
      <c r="K61" s="389"/>
      <c r="L61" s="389"/>
      <c r="M61" s="377"/>
    </row>
    <row r="62" spans="1:13" x14ac:dyDescent="0.25">
      <c r="A62" s="369">
        <v>38</v>
      </c>
      <c r="B62" s="370" t="s">
        <v>144</v>
      </c>
      <c r="C62" s="370" t="s">
        <v>354</v>
      </c>
      <c r="D62" s="370" t="s">
        <v>145</v>
      </c>
      <c r="E62" s="370" t="s">
        <v>18</v>
      </c>
      <c r="F62" s="369" t="s">
        <v>65</v>
      </c>
      <c r="G62" s="370" t="s">
        <v>357</v>
      </c>
      <c r="H62" s="370" t="s">
        <v>18</v>
      </c>
      <c r="I62" s="369" t="s">
        <v>267</v>
      </c>
      <c r="J62" s="25">
        <f>((21620*6)+(21710*6))</f>
        <v>259980</v>
      </c>
      <c r="K62" s="371">
        <v>0</v>
      </c>
      <c r="L62" s="371">
        <v>0</v>
      </c>
      <c r="M62" s="394"/>
    </row>
    <row r="63" spans="1:13" x14ac:dyDescent="0.25">
      <c r="A63" s="376">
        <v>39</v>
      </c>
      <c r="B63" s="375" t="s">
        <v>146</v>
      </c>
      <c r="C63" s="375" t="s">
        <v>359</v>
      </c>
      <c r="D63" s="375" t="s">
        <v>147</v>
      </c>
      <c r="E63" s="375" t="s">
        <v>68</v>
      </c>
      <c r="F63" s="376">
        <v>4</v>
      </c>
      <c r="G63" s="375" t="s">
        <v>358</v>
      </c>
      <c r="H63" s="375" t="s">
        <v>68</v>
      </c>
      <c r="I63" s="376" t="s">
        <v>269</v>
      </c>
      <c r="J63" s="79">
        <f>((18950*6)+(19160*6))</f>
        <v>228660</v>
      </c>
      <c r="K63" s="395">
        <v>0</v>
      </c>
      <c r="L63" s="395">
        <v>0</v>
      </c>
      <c r="M63" s="396"/>
    </row>
    <row r="64" spans="1:13" ht="6" customHeight="1" x14ac:dyDescent="0.25">
      <c r="A64" s="427"/>
      <c r="B64" s="383"/>
      <c r="C64" s="383"/>
      <c r="D64" s="383"/>
      <c r="E64" s="383"/>
      <c r="F64" s="427"/>
      <c r="G64" s="383"/>
      <c r="H64" s="383"/>
      <c r="I64" s="427"/>
      <c r="J64" s="397"/>
      <c r="K64" s="397"/>
      <c r="L64" s="397"/>
      <c r="M64" s="398"/>
    </row>
    <row r="65" spans="1:13" ht="26.25" x14ac:dyDescent="0.25">
      <c r="A65" s="427"/>
      <c r="B65" s="383"/>
      <c r="C65" s="383"/>
      <c r="D65" s="383"/>
      <c r="E65" s="383"/>
      <c r="F65" s="427"/>
      <c r="G65" s="383"/>
      <c r="H65" s="383"/>
      <c r="I65" s="427"/>
      <c r="J65" s="397"/>
      <c r="K65" s="397"/>
      <c r="L65" s="397"/>
      <c r="M65" s="399">
        <v>28</v>
      </c>
    </row>
    <row r="66" spans="1:13" ht="17.25" customHeight="1" x14ac:dyDescent="0.25">
      <c r="A66" s="445"/>
      <c r="B66" s="445"/>
      <c r="C66" s="445"/>
      <c r="D66" s="445"/>
      <c r="E66" s="445"/>
      <c r="F66" s="445"/>
      <c r="G66" s="445"/>
      <c r="H66" s="445"/>
      <c r="I66" s="445"/>
      <c r="J66" s="445"/>
      <c r="K66" s="445"/>
      <c r="L66" s="445"/>
      <c r="M66" s="445"/>
    </row>
    <row r="67" spans="1:13" x14ac:dyDescent="0.25">
      <c r="A67" s="445"/>
      <c r="B67" s="445"/>
      <c r="C67" s="445"/>
      <c r="D67" s="445"/>
      <c r="E67" s="445"/>
      <c r="F67" s="445"/>
      <c r="G67" s="445"/>
      <c r="H67" s="445"/>
      <c r="I67" s="445"/>
      <c r="J67" s="445"/>
      <c r="K67" s="445"/>
      <c r="L67" s="445"/>
      <c r="M67" s="445"/>
    </row>
    <row r="68" spans="1:13" x14ac:dyDescent="0.25">
      <c r="A68" s="401"/>
      <c r="B68" s="402"/>
      <c r="C68" s="402"/>
      <c r="D68" s="402"/>
      <c r="E68" s="402"/>
      <c r="F68" s="402"/>
      <c r="G68" s="402"/>
      <c r="H68" s="402"/>
      <c r="I68" s="402"/>
      <c r="J68" s="402"/>
      <c r="K68" s="402"/>
      <c r="L68" s="402"/>
      <c r="M68" s="402"/>
    </row>
    <row r="69" spans="1:13" x14ac:dyDescent="0.25">
      <c r="A69" s="436" t="s">
        <v>5</v>
      </c>
      <c r="B69" s="436" t="s">
        <v>73</v>
      </c>
      <c r="C69" s="349" t="s">
        <v>74</v>
      </c>
      <c r="D69" s="439" t="s">
        <v>77</v>
      </c>
      <c r="E69" s="440"/>
      <c r="F69" s="440"/>
      <c r="G69" s="439" t="s">
        <v>78</v>
      </c>
      <c r="H69" s="440"/>
      <c r="I69" s="441"/>
      <c r="J69" s="442" t="s">
        <v>79</v>
      </c>
      <c r="K69" s="443"/>
      <c r="L69" s="444"/>
      <c r="M69" s="350"/>
    </row>
    <row r="70" spans="1:13" x14ac:dyDescent="0.25">
      <c r="A70" s="437"/>
      <c r="B70" s="437"/>
      <c r="C70" s="351" t="s">
        <v>75</v>
      </c>
      <c r="D70" s="436" t="s">
        <v>76</v>
      </c>
      <c r="E70" s="436" t="s">
        <v>9</v>
      </c>
      <c r="F70" s="436" t="s">
        <v>7</v>
      </c>
      <c r="G70" s="436" t="s">
        <v>76</v>
      </c>
      <c r="H70" s="436" t="s">
        <v>9</v>
      </c>
      <c r="I70" s="436" t="s">
        <v>7</v>
      </c>
      <c r="J70" s="436" t="s">
        <v>79</v>
      </c>
      <c r="K70" s="436" t="s">
        <v>80</v>
      </c>
      <c r="L70" s="349" t="s">
        <v>81</v>
      </c>
      <c r="M70" s="426" t="s">
        <v>59</v>
      </c>
    </row>
    <row r="71" spans="1:13" x14ac:dyDescent="0.25">
      <c r="A71" s="438"/>
      <c r="B71" s="438"/>
      <c r="C71" s="353"/>
      <c r="D71" s="438"/>
      <c r="E71" s="438"/>
      <c r="F71" s="438"/>
      <c r="G71" s="438"/>
      <c r="H71" s="438"/>
      <c r="I71" s="438"/>
      <c r="J71" s="438"/>
      <c r="K71" s="438"/>
      <c r="L71" s="354" t="s">
        <v>82</v>
      </c>
      <c r="M71" s="355"/>
    </row>
    <row r="72" spans="1:13" x14ac:dyDescent="0.25">
      <c r="A72" s="426"/>
      <c r="B72" s="367" t="s">
        <v>140</v>
      </c>
      <c r="C72" s="358"/>
      <c r="D72" s="426"/>
      <c r="E72" s="426"/>
      <c r="F72" s="426"/>
      <c r="G72" s="426"/>
      <c r="H72" s="426"/>
      <c r="I72" s="426"/>
      <c r="J72" s="426"/>
      <c r="K72" s="426"/>
      <c r="L72" s="351"/>
      <c r="M72" s="426"/>
    </row>
    <row r="73" spans="1:13" x14ac:dyDescent="0.25">
      <c r="A73" s="426"/>
      <c r="B73" s="367" t="s">
        <v>187</v>
      </c>
      <c r="C73" s="358"/>
      <c r="D73" s="426"/>
      <c r="E73" s="426"/>
      <c r="F73" s="426"/>
      <c r="G73" s="426"/>
      <c r="H73" s="426"/>
      <c r="I73" s="426"/>
      <c r="J73" s="426"/>
      <c r="K73" s="426"/>
      <c r="L73" s="351"/>
      <c r="M73" s="426"/>
    </row>
    <row r="74" spans="1:13" x14ac:dyDescent="0.25">
      <c r="A74" s="387">
        <v>40</v>
      </c>
      <c r="B74" s="377" t="s">
        <v>148</v>
      </c>
      <c r="C74" s="377" t="s">
        <v>360</v>
      </c>
      <c r="D74" s="377" t="s">
        <v>149</v>
      </c>
      <c r="E74" s="377" t="s">
        <v>150</v>
      </c>
      <c r="F74" s="387">
        <v>5</v>
      </c>
      <c r="G74" s="377" t="s">
        <v>361</v>
      </c>
      <c r="H74" s="377" t="s">
        <v>150</v>
      </c>
      <c r="I74" s="387" t="s">
        <v>277</v>
      </c>
      <c r="J74" s="25">
        <f>((17200*6)+(17310*6))</f>
        <v>207060</v>
      </c>
      <c r="K74" s="389">
        <v>0</v>
      </c>
      <c r="L74" s="389">
        <v>0</v>
      </c>
      <c r="M74" s="377"/>
    </row>
    <row r="75" spans="1:13" x14ac:dyDescent="0.25">
      <c r="A75" s="369">
        <v>41</v>
      </c>
      <c r="B75" s="380" t="s">
        <v>188</v>
      </c>
      <c r="C75" s="370"/>
      <c r="D75" s="370" t="s">
        <v>151</v>
      </c>
      <c r="E75" s="370" t="s">
        <v>20</v>
      </c>
      <c r="F75" s="374" t="s">
        <v>110</v>
      </c>
      <c r="G75" s="370" t="s">
        <v>363</v>
      </c>
      <c r="H75" s="370" t="s">
        <v>20</v>
      </c>
      <c r="I75" s="374" t="s">
        <v>270</v>
      </c>
      <c r="J75" s="416">
        <v>256440</v>
      </c>
      <c r="K75" s="371">
        <v>0</v>
      </c>
      <c r="L75" s="371">
        <v>0</v>
      </c>
      <c r="M75" s="369"/>
    </row>
    <row r="76" spans="1:13" x14ac:dyDescent="0.25">
      <c r="A76" s="387">
        <v>42</v>
      </c>
      <c r="B76" s="377" t="s">
        <v>152</v>
      </c>
      <c r="C76" s="377" t="s">
        <v>362</v>
      </c>
      <c r="D76" s="377" t="s">
        <v>153</v>
      </c>
      <c r="E76" s="377" t="s">
        <v>21</v>
      </c>
      <c r="F76" s="387">
        <v>5</v>
      </c>
      <c r="G76" s="377" t="s">
        <v>364</v>
      </c>
      <c r="H76" s="377" t="s">
        <v>21</v>
      </c>
      <c r="I76" s="387" t="s">
        <v>277</v>
      </c>
      <c r="J76" s="25">
        <f>((17890*6)+(18060*6))</f>
        <v>215700</v>
      </c>
      <c r="K76" s="389">
        <v>0</v>
      </c>
      <c r="L76" s="389">
        <v>0</v>
      </c>
      <c r="M76" s="387"/>
    </row>
    <row r="77" spans="1:13" x14ac:dyDescent="0.25">
      <c r="A77" s="369">
        <v>43</v>
      </c>
      <c r="B77" s="380" t="s">
        <v>188</v>
      </c>
      <c r="C77" s="370"/>
      <c r="D77" s="370" t="s">
        <v>154</v>
      </c>
      <c r="E77" s="370" t="s">
        <v>155</v>
      </c>
      <c r="F77" s="374" t="s">
        <v>111</v>
      </c>
      <c r="G77" s="377" t="s">
        <v>365</v>
      </c>
      <c r="H77" s="370" t="s">
        <v>150</v>
      </c>
      <c r="I77" s="374" t="s">
        <v>270</v>
      </c>
      <c r="J77" s="416">
        <v>238620</v>
      </c>
      <c r="K77" s="371">
        <v>0</v>
      </c>
      <c r="L77" s="371">
        <v>0</v>
      </c>
      <c r="M77" s="369"/>
    </row>
    <row r="78" spans="1:13" x14ac:dyDescent="0.25">
      <c r="A78" s="351"/>
      <c r="B78" s="367" t="s">
        <v>26</v>
      </c>
      <c r="C78" s="358"/>
      <c r="D78" s="358"/>
      <c r="E78" s="358"/>
      <c r="F78" s="358"/>
      <c r="G78" s="358"/>
      <c r="H78" s="358"/>
      <c r="I78" s="358"/>
      <c r="J78" s="359"/>
      <c r="K78" s="359"/>
      <c r="L78" s="359"/>
      <c r="M78" s="351"/>
    </row>
    <row r="79" spans="1:13" x14ac:dyDescent="0.25">
      <c r="A79" s="387">
        <v>44</v>
      </c>
      <c r="B79" s="377" t="s">
        <v>190</v>
      </c>
      <c r="C79" s="377" t="s">
        <v>368</v>
      </c>
      <c r="D79" s="387" t="s">
        <v>175</v>
      </c>
      <c r="E79" s="377" t="s">
        <v>27</v>
      </c>
      <c r="F79" s="387" t="s">
        <v>175</v>
      </c>
      <c r="G79" s="387" t="s">
        <v>191</v>
      </c>
      <c r="H79" s="377" t="s">
        <v>27</v>
      </c>
      <c r="I79" s="387" t="s">
        <v>175</v>
      </c>
      <c r="J79" s="25">
        <f>14310*12</f>
        <v>171720</v>
      </c>
      <c r="K79" s="389">
        <v>0</v>
      </c>
      <c r="L79" s="389">
        <v>0</v>
      </c>
      <c r="M79" s="387"/>
    </row>
    <row r="80" spans="1:13" x14ac:dyDescent="0.25">
      <c r="A80" s="351"/>
      <c r="B80" s="404" t="s">
        <v>41</v>
      </c>
      <c r="C80" s="358"/>
      <c r="D80" s="358"/>
      <c r="E80" s="358"/>
      <c r="F80" s="358"/>
      <c r="G80" s="358"/>
      <c r="H80" s="358"/>
      <c r="I80" s="358"/>
      <c r="J80" s="403"/>
      <c r="K80" s="359"/>
      <c r="L80" s="359"/>
      <c r="M80" s="351"/>
    </row>
    <row r="81" spans="1:13" x14ac:dyDescent="0.25">
      <c r="A81" s="387">
        <v>45</v>
      </c>
      <c r="B81" s="377" t="s">
        <v>156</v>
      </c>
      <c r="C81" s="377" t="s">
        <v>171</v>
      </c>
      <c r="D81" s="387" t="s">
        <v>175</v>
      </c>
      <c r="E81" s="377" t="s">
        <v>49</v>
      </c>
      <c r="F81" s="387" t="s">
        <v>175</v>
      </c>
      <c r="G81" s="387" t="s">
        <v>175</v>
      </c>
      <c r="H81" s="377" t="s">
        <v>49</v>
      </c>
      <c r="I81" s="387" t="s">
        <v>175</v>
      </c>
      <c r="J81" s="52">
        <f>10740*12</f>
        <v>128880</v>
      </c>
      <c r="K81" s="389">
        <v>0</v>
      </c>
      <c r="L81" s="389">
        <v>0</v>
      </c>
      <c r="M81" s="387"/>
    </row>
    <row r="82" spans="1:13" ht="15.75" thickBot="1" x14ac:dyDescent="0.3">
      <c r="A82" s="364">
        <v>46</v>
      </c>
      <c r="B82" s="365" t="s">
        <v>366</v>
      </c>
      <c r="C82" s="365" t="s">
        <v>171</v>
      </c>
      <c r="D82" s="364" t="s">
        <v>175</v>
      </c>
      <c r="E82" s="417" t="s">
        <v>192</v>
      </c>
      <c r="F82" s="364" t="s">
        <v>175</v>
      </c>
      <c r="G82" s="364" t="s">
        <v>175</v>
      </c>
      <c r="H82" s="365" t="s">
        <v>192</v>
      </c>
      <c r="I82" s="364" t="s">
        <v>175</v>
      </c>
      <c r="J82" s="418">
        <f>9400*12</f>
        <v>112800</v>
      </c>
      <c r="K82" s="366">
        <v>0</v>
      </c>
      <c r="L82" s="366">
        <v>0</v>
      </c>
      <c r="M82" s="364"/>
    </row>
    <row r="83" spans="1:13" x14ac:dyDescent="0.25">
      <c r="A83" s="351"/>
      <c r="B83" s="367" t="s">
        <v>367</v>
      </c>
      <c r="C83" s="358"/>
      <c r="D83" s="351"/>
      <c r="E83" s="351"/>
      <c r="F83" s="351"/>
      <c r="G83" s="351"/>
      <c r="H83" s="358"/>
      <c r="I83" s="351"/>
      <c r="J83" s="359"/>
      <c r="K83" s="359"/>
      <c r="L83" s="359"/>
      <c r="M83" s="351"/>
    </row>
    <row r="84" spans="1:13" x14ac:dyDescent="0.25">
      <c r="A84" s="351"/>
      <c r="B84" s="367" t="s">
        <v>187</v>
      </c>
      <c r="C84" s="358"/>
      <c r="D84" s="351"/>
      <c r="E84" s="351"/>
      <c r="F84" s="351"/>
      <c r="G84" s="351"/>
      <c r="H84" s="358"/>
      <c r="I84" s="351"/>
      <c r="J84" s="359"/>
      <c r="K84" s="359"/>
      <c r="L84" s="359"/>
      <c r="M84" s="351"/>
    </row>
    <row r="85" spans="1:13" x14ac:dyDescent="0.25">
      <c r="A85" s="387">
        <v>47</v>
      </c>
      <c r="B85" s="377" t="s">
        <v>157</v>
      </c>
      <c r="C85" s="377" t="s">
        <v>372</v>
      </c>
      <c r="D85" s="377" t="s">
        <v>158</v>
      </c>
      <c r="E85" s="377" t="s">
        <v>369</v>
      </c>
      <c r="F85" s="387">
        <v>7</v>
      </c>
      <c r="G85" s="377" t="s">
        <v>371</v>
      </c>
      <c r="H85" s="377" t="s">
        <v>311</v>
      </c>
      <c r="I85" s="387" t="s">
        <v>323</v>
      </c>
      <c r="J85" s="36">
        <f>((25470*6)+(25470*6))+((3500*3)+(3500*9))</f>
        <v>347640</v>
      </c>
      <c r="K85" s="389">
        <f>3500*12</f>
        <v>42000</v>
      </c>
      <c r="L85" s="389">
        <v>0</v>
      </c>
      <c r="M85" s="419">
        <f>SUM(J85:L85)</f>
        <v>389640</v>
      </c>
    </row>
    <row r="86" spans="1:13" x14ac:dyDescent="0.25">
      <c r="A86" s="369"/>
      <c r="B86" s="370"/>
      <c r="C86" s="370"/>
      <c r="D86" s="370"/>
      <c r="E86" s="370" t="s">
        <v>370</v>
      </c>
      <c r="F86" s="369"/>
      <c r="G86" s="370"/>
      <c r="H86" s="370" t="s">
        <v>370</v>
      </c>
      <c r="I86" s="369"/>
      <c r="J86" s="371"/>
      <c r="K86" s="371"/>
      <c r="L86" s="371"/>
      <c r="M86" s="370"/>
    </row>
    <row r="87" spans="1:13" x14ac:dyDescent="0.25">
      <c r="A87" s="369">
        <v>48</v>
      </c>
      <c r="B87" s="380" t="s">
        <v>188</v>
      </c>
      <c r="C87" s="370" t="s">
        <v>162</v>
      </c>
      <c r="D87" s="370" t="s">
        <v>163</v>
      </c>
      <c r="E87" s="370" t="s">
        <v>23</v>
      </c>
      <c r="F87" s="369">
        <v>3</v>
      </c>
      <c r="G87" s="370" t="s">
        <v>375</v>
      </c>
      <c r="H87" s="370" t="s">
        <v>23</v>
      </c>
      <c r="I87" s="369" t="s">
        <v>270</v>
      </c>
      <c r="J87" s="371">
        <v>256440</v>
      </c>
      <c r="K87" s="371">
        <v>0</v>
      </c>
      <c r="L87" s="371">
        <v>0</v>
      </c>
      <c r="M87" s="394"/>
    </row>
    <row r="88" spans="1:13" x14ac:dyDescent="0.25">
      <c r="A88" s="369">
        <v>49</v>
      </c>
      <c r="B88" s="378" t="s">
        <v>373</v>
      </c>
      <c r="C88" s="370" t="s">
        <v>374</v>
      </c>
      <c r="D88" s="370" t="s">
        <v>166</v>
      </c>
      <c r="E88" s="370" t="s">
        <v>23</v>
      </c>
      <c r="F88" s="374" t="s">
        <v>110</v>
      </c>
      <c r="G88" s="370" t="s">
        <v>376</v>
      </c>
      <c r="H88" s="370" t="s">
        <v>23</v>
      </c>
      <c r="I88" s="374" t="s">
        <v>277</v>
      </c>
      <c r="J88" s="25">
        <f>((17890*6)+(18060*6))</f>
        <v>215700</v>
      </c>
      <c r="K88" s="371">
        <v>0</v>
      </c>
      <c r="L88" s="371">
        <v>0</v>
      </c>
      <c r="M88" s="420"/>
    </row>
    <row r="89" spans="1:13" x14ac:dyDescent="0.25">
      <c r="A89" s="369">
        <v>50</v>
      </c>
      <c r="B89" s="380" t="s">
        <v>188</v>
      </c>
      <c r="C89" s="370"/>
      <c r="D89" s="370" t="s">
        <v>167</v>
      </c>
      <c r="E89" s="370" t="s">
        <v>24</v>
      </c>
      <c r="F89" s="374" t="s">
        <v>110</v>
      </c>
      <c r="G89" s="370" t="s">
        <v>380</v>
      </c>
      <c r="H89" s="370" t="s">
        <v>24</v>
      </c>
      <c r="I89" s="374" t="s">
        <v>270</v>
      </c>
      <c r="J89" s="372">
        <f>(4870+19100)*12/2</f>
        <v>143820</v>
      </c>
      <c r="K89" s="371">
        <v>0</v>
      </c>
      <c r="L89" s="371">
        <v>0</v>
      </c>
      <c r="M89" s="369"/>
    </row>
    <row r="90" spans="1:13" x14ac:dyDescent="0.25">
      <c r="A90" s="369">
        <v>51</v>
      </c>
      <c r="B90" s="378" t="s">
        <v>377</v>
      </c>
      <c r="C90" s="370" t="s">
        <v>378</v>
      </c>
      <c r="D90" s="370" t="s">
        <v>168</v>
      </c>
      <c r="E90" s="370" t="s">
        <v>25</v>
      </c>
      <c r="F90" s="374" t="s">
        <v>110</v>
      </c>
      <c r="G90" s="370" t="s">
        <v>379</v>
      </c>
      <c r="H90" s="370" t="s">
        <v>25</v>
      </c>
      <c r="I90" s="374" t="s">
        <v>272</v>
      </c>
      <c r="J90" s="25">
        <f>((13550*6)+(13760*6))</f>
        <v>163860</v>
      </c>
      <c r="K90" s="371">
        <v>0</v>
      </c>
      <c r="L90" s="371">
        <v>0</v>
      </c>
      <c r="M90" s="369"/>
    </row>
    <row r="91" spans="1:13" x14ac:dyDescent="0.25">
      <c r="A91" s="369">
        <v>52</v>
      </c>
      <c r="B91" s="370" t="s">
        <v>164</v>
      </c>
      <c r="C91" s="370" t="s">
        <v>171</v>
      </c>
      <c r="D91" s="370" t="s">
        <v>165</v>
      </c>
      <c r="E91" s="370" t="s">
        <v>13</v>
      </c>
      <c r="F91" s="369">
        <v>3</v>
      </c>
      <c r="G91" s="370" t="s">
        <v>381</v>
      </c>
      <c r="H91" s="370" t="s">
        <v>274</v>
      </c>
      <c r="I91" s="369" t="s">
        <v>272</v>
      </c>
      <c r="J91" s="25">
        <f>((13820*6)+(14030*6))</f>
        <v>167100</v>
      </c>
      <c r="K91" s="371">
        <v>0</v>
      </c>
      <c r="L91" s="371">
        <v>0</v>
      </c>
      <c r="M91" s="370"/>
    </row>
    <row r="92" spans="1:13" x14ac:dyDescent="0.25">
      <c r="A92" s="369"/>
      <c r="B92" s="421" t="s">
        <v>41</v>
      </c>
      <c r="C92" s="370"/>
      <c r="D92" s="370"/>
      <c r="E92" s="370"/>
      <c r="F92" s="369"/>
      <c r="G92" s="370"/>
      <c r="H92" s="370"/>
      <c r="I92" s="369"/>
      <c r="J92" s="371"/>
      <c r="K92" s="371"/>
      <c r="L92" s="371"/>
      <c r="M92" s="370"/>
    </row>
    <row r="93" spans="1:13" x14ac:dyDescent="0.25">
      <c r="A93" s="369">
        <v>53</v>
      </c>
      <c r="B93" s="370" t="s">
        <v>170</v>
      </c>
      <c r="C93" s="370" t="s">
        <v>171</v>
      </c>
      <c r="D93" s="369" t="s">
        <v>175</v>
      </c>
      <c r="E93" s="370" t="s">
        <v>40</v>
      </c>
      <c r="F93" s="369" t="s">
        <v>175</v>
      </c>
      <c r="G93" s="369" t="s">
        <v>175</v>
      </c>
      <c r="H93" s="370" t="s">
        <v>40</v>
      </c>
      <c r="I93" s="369" t="s">
        <v>175</v>
      </c>
      <c r="J93" s="56">
        <f>12630*12</f>
        <v>151560</v>
      </c>
      <c r="K93" s="371">
        <v>0</v>
      </c>
      <c r="L93" s="371">
        <v>0</v>
      </c>
      <c r="M93" s="370"/>
    </row>
    <row r="94" spans="1:13" x14ac:dyDescent="0.25">
      <c r="A94" s="369">
        <v>57</v>
      </c>
      <c r="B94" s="370" t="s">
        <v>169</v>
      </c>
      <c r="C94" s="370" t="s">
        <v>171</v>
      </c>
      <c r="D94" s="369" t="s">
        <v>175</v>
      </c>
      <c r="E94" s="370" t="s">
        <v>39</v>
      </c>
      <c r="F94" s="369" t="s">
        <v>175</v>
      </c>
      <c r="G94" s="369" t="s">
        <v>175</v>
      </c>
      <c r="H94" s="370" t="s">
        <v>39</v>
      </c>
      <c r="I94" s="369" t="s">
        <v>175</v>
      </c>
      <c r="J94" s="56">
        <f>10700*12</f>
        <v>128400</v>
      </c>
      <c r="K94" s="371">
        <v>0</v>
      </c>
      <c r="L94" s="371">
        <v>0</v>
      </c>
      <c r="M94" s="370"/>
    </row>
    <row r="95" spans="1:13" x14ac:dyDescent="0.25">
      <c r="A95" s="354">
        <v>55</v>
      </c>
      <c r="B95" s="424" t="s">
        <v>188</v>
      </c>
      <c r="C95" s="353"/>
      <c r="D95" s="354" t="s">
        <v>175</v>
      </c>
      <c r="E95" s="422" t="s">
        <v>172</v>
      </c>
      <c r="F95" s="354" t="s">
        <v>175</v>
      </c>
      <c r="G95" s="354" t="s">
        <v>175</v>
      </c>
      <c r="H95" s="353" t="s">
        <v>280</v>
      </c>
      <c r="I95" s="405">
        <v>0</v>
      </c>
      <c r="J95" s="406">
        <f>11500*12</f>
        <v>138000</v>
      </c>
      <c r="K95" s="406">
        <v>0</v>
      </c>
      <c r="L95" s="406">
        <v>0</v>
      </c>
      <c r="M95" s="354"/>
    </row>
    <row r="96" spans="1:13" x14ac:dyDescent="0.25">
      <c r="A96" s="427"/>
      <c r="B96" s="407"/>
      <c r="C96" s="383"/>
      <c r="D96" s="427"/>
      <c r="E96" s="427"/>
      <c r="F96" s="427"/>
      <c r="G96" s="427"/>
      <c r="H96" s="383"/>
      <c r="I96" s="408"/>
      <c r="J96" s="397"/>
      <c r="K96" s="397"/>
      <c r="L96" s="397"/>
      <c r="M96" s="427"/>
    </row>
    <row r="97" spans="1:13" x14ac:dyDescent="0.25">
      <c r="A97" s="427"/>
      <c r="B97" s="407"/>
      <c r="C97" s="383"/>
      <c r="D97" s="427"/>
      <c r="E97" s="427"/>
      <c r="F97" s="427"/>
      <c r="G97" s="427"/>
      <c r="H97" s="383"/>
      <c r="I97" s="408"/>
      <c r="J97" s="397"/>
      <c r="K97" s="397"/>
      <c r="L97" s="397"/>
      <c r="M97" s="409"/>
    </row>
    <row r="98" spans="1:13" ht="20.25" x14ac:dyDescent="0.25">
      <c r="A98" s="427"/>
      <c r="B98" s="407"/>
      <c r="C98" s="383"/>
      <c r="D98" s="427"/>
      <c r="E98" s="427"/>
      <c r="F98" s="427"/>
      <c r="G98" s="427"/>
      <c r="H98" s="383"/>
      <c r="I98" s="408"/>
      <c r="J98" s="397"/>
      <c r="K98" s="397"/>
      <c r="L98" s="397"/>
      <c r="M98" s="433">
        <v>29</v>
      </c>
    </row>
    <row r="99" spans="1:13" x14ac:dyDescent="0.25">
      <c r="A99" s="427"/>
      <c r="B99" s="407"/>
      <c r="C99" s="383"/>
      <c r="D99" s="427"/>
      <c r="E99" s="427"/>
      <c r="F99" s="427"/>
      <c r="G99" s="427"/>
      <c r="H99" s="383"/>
      <c r="I99" s="408"/>
      <c r="J99" s="397"/>
      <c r="K99" s="397"/>
      <c r="L99" s="397"/>
      <c r="M99" s="427"/>
    </row>
    <row r="100" spans="1:13" x14ac:dyDescent="0.25">
      <c r="A100" s="445"/>
      <c r="B100" s="445"/>
      <c r="C100" s="445"/>
      <c r="D100" s="445"/>
      <c r="E100" s="445"/>
      <c r="F100" s="445"/>
      <c r="G100" s="445"/>
      <c r="H100" s="445"/>
      <c r="I100" s="445"/>
      <c r="J100" s="445"/>
      <c r="K100" s="445"/>
      <c r="L100" s="445"/>
      <c r="M100" s="445"/>
    </row>
    <row r="101" spans="1:13" x14ac:dyDescent="0.25">
      <c r="A101" s="401"/>
      <c r="B101" s="402"/>
      <c r="C101" s="402"/>
      <c r="D101" s="402"/>
      <c r="E101" s="402"/>
      <c r="F101" s="402"/>
      <c r="G101" s="402"/>
      <c r="H101" s="402"/>
      <c r="I101" s="402"/>
      <c r="J101" s="402"/>
      <c r="K101" s="402"/>
      <c r="L101" s="402"/>
      <c r="M101" s="402"/>
    </row>
    <row r="102" spans="1:13" x14ac:dyDescent="0.25">
      <c r="A102" s="436" t="s">
        <v>5</v>
      </c>
      <c r="B102" s="436" t="s">
        <v>73</v>
      </c>
      <c r="C102" s="349" t="s">
        <v>74</v>
      </c>
      <c r="D102" s="439" t="s">
        <v>77</v>
      </c>
      <c r="E102" s="440"/>
      <c r="F102" s="440"/>
      <c r="G102" s="439" t="s">
        <v>78</v>
      </c>
      <c r="H102" s="440"/>
      <c r="I102" s="441"/>
      <c r="J102" s="442" t="s">
        <v>79</v>
      </c>
      <c r="K102" s="443"/>
      <c r="L102" s="444"/>
      <c r="M102" s="350"/>
    </row>
    <row r="103" spans="1:13" x14ac:dyDescent="0.25">
      <c r="A103" s="437"/>
      <c r="B103" s="437"/>
      <c r="C103" s="351" t="s">
        <v>75</v>
      </c>
      <c r="D103" s="436" t="s">
        <v>76</v>
      </c>
      <c r="E103" s="436" t="s">
        <v>9</v>
      </c>
      <c r="F103" s="436" t="s">
        <v>7</v>
      </c>
      <c r="G103" s="436" t="s">
        <v>76</v>
      </c>
      <c r="H103" s="436" t="s">
        <v>9</v>
      </c>
      <c r="I103" s="436" t="s">
        <v>7</v>
      </c>
      <c r="J103" s="436" t="s">
        <v>79</v>
      </c>
      <c r="K103" s="436" t="s">
        <v>80</v>
      </c>
      <c r="L103" s="349" t="s">
        <v>81</v>
      </c>
      <c r="M103" s="426" t="s">
        <v>59</v>
      </c>
    </row>
    <row r="104" spans="1:13" x14ac:dyDescent="0.25">
      <c r="A104" s="438"/>
      <c r="B104" s="438"/>
      <c r="C104" s="353"/>
      <c r="D104" s="438"/>
      <c r="E104" s="438"/>
      <c r="F104" s="438"/>
      <c r="G104" s="438"/>
      <c r="H104" s="438"/>
      <c r="I104" s="438"/>
      <c r="J104" s="438"/>
      <c r="K104" s="438"/>
      <c r="L104" s="354" t="s">
        <v>82</v>
      </c>
      <c r="M104" s="355"/>
    </row>
    <row r="105" spans="1:13" x14ac:dyDescent="0.25">
      <c r="A105" s="351"/>
      <c r="B105" s="404" t="s">
        <v>38</v>
      </c>
      <c r="C105" s="358"/>
      <c r="D105" s="358"/>
      <c r="E105" s="358"/>
      <c r="F105" s="358"/>
      <c r="G105" s="358"/>
      <c r="H105" s="358"/>
      <c r="I105" s="351"/>
      <c r="J105" s="410">
        <v>0</v>
      </c>
      <c r="K105" s="410">
        <v>0</v>
      </c>
      <c r="L105" s="410">
        <v>0</v>
      </c>
      <c r="M105" s="351"/>
    </row>
    <row r="106" spans="1:13" x14ac:dyDescent="0.25">
      <c r="A106" s="387">
        <v>56</v>
      </c>
      <c r="B106" s="377" t="s">
        <v>173</v>
      </c>
      <c r="C106" s="387" t="s">
        <v>175</v>
      </c>
      <c r="D106" s="387" t="s">
        <v>175</v>
      </c>
      <c r="E106" s="377" t="s">
        <v>37</v>
      </c>
      <c r="F106" s="387" t="s">
        <v>175</v>
      </c>
      <c r="G106" s="387" t="s">
        <v>175</v>
      </c>
      <c r="H106" s="377" t="s">
        <v>37</v>
      </c>
      <c r="I106" s="387" t="s">
        <v>175</v>
      </c>
      <c r="J106" s="56">
        <f>10600*12</f>
        <v>127200</v>
      </c>
      <c r="K106" s="411">
        <v>0</v>
      </c>
      <c r="L106" s="411">
        <v>0</v>
      </c>
      <c r="M106" s="387"/>
    </row>
    <row r="107" spans="1:13" x14ac:dyDescent="0.25">
      <c r="A107" s="369">
        <v>57</v>
      </c>
      <c r="B107" s="370" t="s">
        <v>382</v>
      </c>
      <c r="C107" s="369" t="s">
        <v>175</v>
      </c>
      <c r="D107" s="369" t="s">
        <v>175</v>
      </c>
      <c r="E107" s="370" t="s">
        <v>37</v>
      </c>
      <c r="F107" s="369" t="s">
        <v>175</v>
      </c>
      <c r="G107" s="369" t="s">
        <v>175</v>
      </c>
      <c r="H107" s="370" t="s">
        <v>37</v>
      </c>
      <c r="I107" s="369" t="s">
        <v>175</v>
      </c>
      <c r="J107" s="56">
        <f>9400*12</f>
        <v>112800</v>
      </c>
      <c r="K107" s="412">
        <v>0</v>
      </c>
      <c r="L107" s="412">
        <v>0</v>
      </c>
      <c r="M107" s="369"/>
    </row>
    <row r="108" spans="1:13" x14ac:dyDescent="0.25">
      <c r="A108" s="351"/>
      <c r="B108" s="404" t="s">
        <v>36</v>
      </c>
      <c r="C108" s="351"/>
      <c r="D108" s="351"/>
      <c r="E108" s="351"/>
      <c r="F108" s="351"/>
      <c r="G108" s="351"/>
      <c r="H108" s="358"/>
      <c r="I108" s="351"/>
      <c r="J108" s="359"/>
      <c r="K108" s="410"/>
      <c r="L108" s="410"/>
      <c r="M108" s="351"/>
    </row>
    <row r="109" spans="1:13" x14ac:dyDescent="0.25">
      <c r="A109" s="369">
        <v>58</v>
      </c>
      <c r="B109" s="370" t="s">
        <v>176</v>
      </c>
      <c r="C109" s="369" t="s">
        <v>195</v>
      </c>
      <c r="D109" s="369" t="s">
        <v>175</v>
      </c>
      <c r="E109" s="369" t="s">
        <v>175</v>
      </c>
      <c r="F109" s="369" t="s">
        <v>175</v>
      </c>
      <c r="G109" s="369" t="s">
        <v>175</v>
      </c>
      <c r="H109" s="370" t="s">
        <v>177</v>
      </c>
      <c r="I109" s="369" t="s">
        <v>175</v>
      </c>
      <c r="J109" s="371">
        <f>9000*12</f>
        <v>108000</v>
      </c>
      <c r="K109" s="412">
        <v>0</v>
      </c>
      <c r="L109" s="412">
        <v>0</v>
      </c>
      <c r="M109" s="369"/>
    </row>
    <row r="110" spans="1:13" x14ac:dyDescent="0.25">
      <c r="A110" s="369">
        <v>59</v>
      </c>
      <c r="B110" s="370" t="s">
        <v>178</v>
      </c>
      <c r="C110" s="369" t="s">
        <v>195</v>
      </c>
      <c r="D110" s="369" t="s">
        <v>175</v>
      </c>
      <c r="E110" s="369" t="s">
        <v>175</v>
      </c>
      <c r="F110" s="369" t="s">
        <v>175</v>
      </c>
      <c r="G110" s="369" t="s">
        <v>175</v>
      </c>
      <c r="H110" s="370" t="s">
        <v>177</v>
      </c>
      <c r="I110" s="369" t="s">
        <v>175</v>
      </c>
      <c r="J110" s="371">
        <f>9000*12</f>
        <v>108000</v>
      </c>
      <c r="K110" s="412">
        <v>0</v>
      </c>
      <c r="L110" s="412">
        <v>0</v>
      </c>
      <c r="M110" s="369"/>
    </row>
    <row r="111" spans="1:13" x14ac:dyDescent="0.25">
      <c r="A111" s="369">
        <v>60</v>
      </c>
      <c r="B111" s="380" t="s">
        <v>188</v>
      </c>
      <c r="C111" s="369" t="s">
        <v>175</v>
      </c>
      <c r="D111" s="369" t="s">
        <v>175</v>
      </c>
      <c r="E111" s="369" t="s">
        <v>175</v>
      </c>
      <c r="F111" s="369" t="s">
        <v>175</v>
      </c>
      <c r="G111" s="369" t="s">
        <v>175</v>
      </c>
      <c r="H111" s="370" t="s">
        <v>177</v>
      </c>
      <c r="I111" s="369" t="s">
        <v>11</v>
      </c>
      <c r="J111" s="371">
        <f t="shared" ref="J111:J112" si="0">9000*12</f>
        <v>108000</v>
      </c>
      <c r="K111" s="412">
        <v>0</v>
      </c>
      <c r="L111" s="412">
        <v>0</v>
      </c>
      <c r="M111" s="369"/>
    </row>
    <row r="112" spans="1:13" x14ac:dyDescent="0.25">
      <c r="A112" s="376">
        <v>61</v>
      </c>
      <c r="B112" s="423" t="s">
        <v>188</v>
      </c>
      <c r="C112" s="376" t="s">
        <v>175</v>
      </c>
      <c r="D112" s="376" t="s">
        <v>175</v>
      </c>
      <c r="E112" s="376" t="s">
        <v>175</v>
      </c>
      <c r="F112" s="376" t="s">
        <v>175</v>
      </c>
      <c r="G112" s="376" t="s">
        <v>175</v>
      </c>
      <c r="H112" s="375" t="s">
        <v>37</v>
      </c>
      <c r="I112" s="376" t="s">
        <v>175</v>
      </c>
      <c r="J112" s="395">
        <f t="shared" si="0"/>
        <v>108000</v>
      </c>
      <c r="K112" s="413">
        <v>0</v>
      </c>
      <c r="L112" s="413">
        <v>0</v>
      </c>
      <c r="M112" s="376"/>
    </row>
    <row r="131" spans="13:13" ht="20.25" x14ac:dyDescent="0.25">
      <c r="M131" s="238">
        <v>30</v>
      </c>
    </row>
  </sheetData>
  <mergeCells count="56">
    <mergeCell ref="F103:F104"/>
    <mergeCell ref="G103:G104"/>
    <mergeCell ref="H103:H104"/>
    <mergeCell ref="I103:I104"/>
    <mergeCell ref="J103:J104"/>
    <mergeCell ref="K103:K104"/>
    <mergeCell ref="J70:J71"/>
    <mergeCell ref="K70:K71"/>
    <mergeCell ref="A100:M100"/>
    <mergeCell ref="A102:A104"/>
    <mergeCell ref="B102:B104"/>
    <mergeCell ref="D102:F102"/>
    <mergeCell ref="G102:I102"/>
    <mergeCell ref="J102:L102"/>
    <mergeCell ref="D103:D104"/>
    <mergeCell ref="E103:E104"/>
    <mergeCell ref="D70:D71"/>
    <mergeCell ref="E70:E71"/>
    <mergeCell ref="F70:F71"/>
    <mergeCell ref="G70:G71"/>
    <mergeCell ref="H70:H71"/>
    <mergeCell ref="I70:I71"/>
    <mergeCell ref="I37:I38"/>
    <mergeCell ref="J37:J38"/>
    <mergeCell ref="K37:K38"/>
    <mergeCell ref="A66:M66"/>
    <mergeCell ref="A67:M67"/>
    <mergeCell ref="A69:A71"/>
    <mergeCell ref="B69:B71"/>
    <mergeCell ref="D69:F69"/>
    <mergeCell ref="G69:I69"/>
    <mergeCell ref="J69:L69"/>
    <mergeCell ref="A36:A38"/>
    <mergeCell ref="B36:B38"/>
    <mergeCell ref="D36:F36"/>
    <mergeCell ref="G36:I36"/>
    <mergeCell ref="J36:L36"/>
    <mergeCell ref="D37:D38"/>
    <mergeCell ref="E37:E38"/>
    <mergeCell ref="F37:F38"/>
    <mergeCell ref="G37:G38"/>
    <mergeCell ref="H37:H38"/>
    <mergeCell ref="A34:M34"/>
    <mergeCell ref="A4:A6"/>
    <mergeCell ref="B4:B6"/>
    <mergeCell ref="D4:F4"/>
    <mergeCell ref="G4:I4"/>
    <mergeCell ref="J4:L4"/>
    <mergeCell ref="D5:D6"/>
    <mergeCell ref="E5:E6"/>
    <mergeCell ref="F5:F6"/>
    <mergeCell ref="G5:G6"/>
    <mergeCell ref="H5:H6"/>
    <mergeCell ref="I5:I6"/>
    <mergeCell ref="J5:J6"/>
    <mergeCell ref="K5:K6"/>
  </mergeCells>
  <pageMargins left="0.39370078740157483" right="0.11811023622047245" top="0.74803149606299213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131"/>
  <sheetViews>
    <sheetView topLeftCell="A15" zoomScale="120" zoomScaleNormal="120" workbookViewId="0">
      <selection activeCell="H25" sqref="H25"/>
    </sheetView>
  </sheetViews>
  <sheetFormatPr defaultRowHeight="15" x14ac:dyDescent="0.25"/>
  <cols>
    <col min="1" max="1" width="2.75" style="347" customWidth="1"/>
    <col min="2" max="2" width="18.625" style="100" customWidth="1"/>
    <col min="3" max="3" width="9.5" style="100" customWidth="1"/>
    <col min="4" max="4" width="8.125" style="100" customWidth="1"/>
    <col min="5" max="5" width="16.5" style="100" customWidth="1"/>
    <col min="6" max="6" width="5.25" style="100" customWidth="1"/>
    <col min="7" max="7" width="9.25" style="100" customWidth="1"/>
    <col min="8" max="8" width="17.25" style="100" customWidth="1"/>
    <col min="9" max="9" width="5.375" style="100" customWidth="1"/>
    <col min="10" max="10" width="9.375" style="100" bestFit="1" customWidth="1"/>
    <col min="11" max="11" width="9" style="100" customWidth="1"/>
    <col min="12" max="12" width="8.625" style="100" customWidth="1"/>
    <col min="13" max="13" width="7.875" style="100" customWidth="1"/>
    <col min="14" max="16384" width="9" style="100"/>
  </cols>
  <sheetData>
    <row r="1" spans="1:13" x14ac:dyDescent="0.25">
      <c r="A1" s="446" t="s">
        <v>383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6"/>
    </row>
    <row r="2" spans="1:13" x14ac:dyDescent="0.25">
      <c r="A2" s="446" t="s">
        <v>384</v>
      </c>
      <c r="B2" s="446"/>
      <c r="C2" s="446"/>
      <c r="D2" s="446"/>
      <c r="E2" s="446"/>
      <c r="F2" s="446"/>
      <c r="G2" s="446"/>
      <c r="H2" s="446"/>
      <c r="I2" s="446"/>
      <c r="J2" s="446"/>
      <c r="K2" s="446"/>
      <c r="L2" s="446"/>
      <c r="M2" s="446"/>
    </row>
    <row r="4" spans="1:13" x14ac:dyDescent="0.25">
      <c r="A4" s="436" t="s">
        <v>5</v>
      </c>
      <c r="B4" s="436" t="s">
        <v>73</v>
      </c>
      <c r="C4" s="349" t="s">
        <v>74</v>
      </c>
      <c r="D4" s="439" t="s">
        <v>77</v>
      </c>
      <c r="E4" s="440"/>
      <c r="F4" s="440"/>
      <c r="G4" s="439" t="s">
        <v>78</v>
      </c>
      <c r="H4" s="440"/>
      <c r="I4" s="441"/>
      <c r="J4" s="442" t="s">
        <v>79</v>
      </c>
      <c r="K4" s="443"/>
      <c r="L4" s="444"/>
      <c r="M4" s="350"/>
    </row>
    <row r="5" spans="1:13" x14ac:dyDescent="0.25">
      <c r="A5" s="437"/>
      <c r="B5" s="437"/>
      <c r="C5" s="351" t="s">
        <v>75</v>
      </c>
      <c r="D5" s="436" t="s">
        <v>76</v>
      </c>
      <c r="E5" s="436" t="s">
        <v>9</v>
      </c>
      <c r="F5" s="436" t="s">
        <v>7</v>
      </c>
      <c r="G5" s="436" t="s">
        <v>76</v>
      </c>
      <c r="H5" s="436" t="s">
        <v>9</v>
      </c>
      <c r="I5" s="436" t="s">
        <v>7</v>
      </c>
      <c r="J5" s="436" t="s">
        <v>79</v>
      </c>
      <c r="K5" s="436" t="s">
        <v>80</v>
      </c>
      <c r="L5" s="349" t="s">
        <v>81</v>
      </c>
      <c r="M5" s="352" t="s">
        <v>59</v>
      </c>
    </row>
    <row r="6" spans="1:13" x14ac:dyDescent="0.25">
      <c r="A6" s="438"/>
      <c r="B6" s="438"/>
      <c r="C6" s="353"/>
      <c r="D6" s="438"/>
      <c r="E6" s="438"/>
      <c r="F6" s="438"/>
      <c r="G6" s="438"/>
      <c r="H6" s="438"/>
      <c r="I6" s="438"/>
      <c r="J6" s="438"/>
      <c r="K6" s="438"/>
      <c r="L6" s="354" t="s">
        <v>82</v>
      </c>
      <c r="M6" s="355"/>
    </row>
    <row r="7" spans="1:13" x14ac:dyDescent="0.25">
      <c r="A7" s="349">
        <v>1</v>
      </c>
      <c r="B7" s="350" t="s">
        <v>83</v>
      </c>
      <c r="C7" s="350" t="s">
        <v>324</v>
      </c>
      <c r="D7" s="350" t="s">
        <v>84</v>
      </c>
      <c r="E7" s="350" t="s">
        <v>85</v>
      </c>
      <c r="F7" s="349">
        <v>8</v>
      </c>
      <c r="G7" s="350" t="s">
        <v>319</v>
      </c>
      <c r="H7" s="350" t="s">
        <v>285</v>
      </c>
      <c r="I7" s="349" t="s">
        <v>321</v>
      </c>
      <c r="J7" s="356">
        <f>31290*12</f>
        <v>375480</v>
      </c>
      <c r="K7" s="356">
        <f>(5600*3)+(7000*9)</f>
        <v>79800</v>
      </c>
      <c r="L7" s="356">
        <f>(5600*3)+(7000*9)</f>
        <v>79800</v>
      </c>
      <c r="M7" s="357">
        <f>SUM(J7:L7)</f>
        <v>535080</v>
      </c>
    </row>
    <row r="8" spans="1:13" x14ac:dyDescent="0.25">
      <c r="A8" s="351"/>
      <c r="B8" s="358"/>
      <c r="C8" s="358"/>
      <c r="D8" s="358"/>
      <c r="E8" s="358" t="s">
        <v>86</v>
      </c>
      <c r="F8" s="351"/>
      <c r="G8" s="377"/>
      <c r="H8" s="358" t="s">
        <v>320</v>
      </c>
      <c r="I8" s="351"/>
      <c r="J8" s="359"/>
      <c r="K8" s="359"/>
      <c r="L8" s="359"/>
      <c r="M8" s="358"/>
    </row>
    <row r="9" spans="1:13" x14ac:dyDescent="0.25">
      <c r="A9" s="360">
        <v>2</v>
      </c>
      <c r="B9" s="379" t="s">
        <v>188</v>
      </c>
      <c r="C9" s="361"/>
      <c r="D9" s="361" t="s">
        <v>89</v>
      </c>
      <c r="E9" s="361" t="s">
        <v>85</v>
      </c>
      <c r="F9" s="360">
        <v>6</v>
      </c>
      <c r="G9" s="358" t="s">
        <v>322</v>
      </c>
      <c r="H9" s="361" t="s">
        <v>287</v>
      </c>
      <c r="I9" s="360" t="s">
        <v>323</v>
      </c>
      <c r="J9" s="362">
        <v>350370</v>
      </c>
      <c r="K9" s="362">
        <f>3500*12</f>
        <v>42000</v>
      </c>
      <c r="L9" s="362">
        <v>0</v>
      </c>
      <c r="M9" s="363">
        <f>SUM(J9:L9)</f>
        <v>392370</v>
      </c>
    </row>
    <row r="10" spans="1:13" ht="15.75" thickBot="1" x14ac:dyDescent="0.3">
      <c r="A10" s="364"/>
      <c r="B10" s="365"/>
      <c r="C10" s="365"/>
      <c r="D10" s="365"/>
      <c r="E10" s="365" t="s">
        <v>90</v>
      </c>
      <c r="F10" s="364"/>
      <c r="G10" s="365"/>
      <c r="H10" s="365" t="s">
        <v>320</v>
      </c>
      <c r="I10" s="364"/>
      <c r="J10" s="366"/>
      <c r="K10" s="366"/>
      <c r="L10" s="366"/>
      <c r="M10" s="365"/>
    </row>
    <row r="11" spans="1:13" x14ac:dyDescent="0.25">
      <c r="A11" s="351"/>
      <c r="B11" s="367" t="s">
        <v>186</v>
      </c>
      <c r="C11" s="358"/>
      <c r="D11" s="358"/>
      <c r="E11" s="358"/>
      <c r="F11" s="351"/>
      <c r="G11" s="358"/>
      <c r="H11" s="358"/>
      <c r="I11" s="351"/>
      <c r="J11" s="359"/>
      <c r="K11" s="359"/>
      <c r="L11" s="359"/>
      <c r="M11" s="358"/>
    </row>
    <row r="12" spans="1:13" x14ac:dyDescent="0.25">
      <c r="A12" s="351"/>
      <c r="B12" s="367" t="s">
        <v>187</v>
      </c>
      <c r="C12" s="358"/>
      <c r="D12" s="358"/>
      <c r="E12" s="358"/>
      <c r="F12" s="351"/>
      <c r="G12" s="358"/>
      <c r="H12" s="358"/>
      <c r="I12" s="351"/>
      <c r="J12" s="359"/>
      <c r="K12" s="359"/>
      <c r="L12" s="359"/>
      <c r="M12" s="358"/>
    </row>
    <row r="13" spans="1:13" x14ac:dyDescent="0.25">
      <c r="A13" s="351">
        <v>3</v>
      </c>
      <c r="B13" s="358" t="s">
        <v>325</v>
      </c>
      <c r="C13" s="358" t="s">
        <v>326</v>
      </c>
      <c r="D13" s="358" t="s">
        <v>92</v>
      </c>
      <c r="E13" s="358" t="s">
        <v>93</v>
      </c>
      <c r="F13" s="351">
        <v>7</v>
      </c>
      <c r="G13" s="358" t="s">
        <v>328</v>
      </c>
      <c r="H13" s="358" t="s">
        <v>290</v>
      </c>
      <c r="I13" s="351" t="s">
        <v>323</v>
      </c>
      <c r="J13" s="359">
        <f>26980*12</f>
        <v>323760</v>
      </c>
      <c r="K13" s="359">
        <f>3500*12</f>
        <v>42000</v>
      </c>
      <c r="L13" s="359">
        <v>0</v>
      </c>
      <c r="M13" s="368">
        <f>SUM(J13:L14)</f>
        <v>365760</v>
      </c>
    </row>
    <row r="14" spans="1:13" x14ac:dyDescent="0.25">
      <c r="A14" s="351"/>
      <c r="B14" s="358"/>
      <c r="C14" s="358" t="s">
        <v>327</v>
      </c>
      <c r="D14" s="358"/>
      <c r="E14" s="358" t="s">
        <v>94</v>
      </c>
      <c r="F14" s="351"/>
      <c r="G14" s="358"/>
      <c r="H14" s="358" t="s">
        <v>329</v>
      </c>
      <c r="I14" s="351"/>
      <c r="J14" s="359"/>
      <c r="K14" s="359"/>
      <c r="L14" s="359"/>
      <c r="M14" s="358"/>
    </row>
    <row r="15" spans="1:13" x14ac:dyDescent="0.25">
      <c r="A15" s="369">
        <v>4</v>
      </c>
      <c r="B15" s="370" t="s">
        <v>98</v>
      </c>
      <c r="C15" s="370" t="s">
        <v>330</v>
      </c>
      <c r="D15" s="370" t="s">
        <v>97</v>
      </c>
      <c r="E15" s="370" t="s">
        <v>95</v>
      </c>
      <c r="F15" s="369">
        <v>5</v>
      </c>
      <c r="G15" s="370" t="s">
        <v>332</v>
      </c>
      <c r="H15" s="370" t="s">
        <v>266</v>
      </c>
      <c r="I15" s="369" t="s">
        <v>267</v>
      </c>
      <c r="J15" s="25">
        <f>((22040*6)+(22170*6))</f>
        <v>265260</v>
      </c>
      <c r="K15" s="371">
        <v>0</v>
      </c>
      <c r="L15" s="371">
        <v>0</v>
      </c>
      <c r="M15" s="369"/>
    </row>
    <row r="16" spans="1:13" x14ac:dyDescent="0.25">
      <c r="A16" s="369">
        <v>5</v>
      </c>
      <c r="B16" s="370" t="s">
        <v>99</v>
      </c>
      <c r="C16" s="370" t="s">
        <v>331</v>
      </c>
      <c r="D16" s="370" t="s">
        <v>100</v>
      </c>
      <c r="E16" s="370" t="s">
        <v>16</v>
      </c>
      <c r="F16" s="369" t="s">
        <v>65</v>
      </c>
      <c r="G16" s="370" t="s">
        <v>333</v>
      </c>
      <c r="H16" s="370" t="s">
        <v>16</v>
      </c>
      <c r="I16" s="369" t="s">
        <v>267</v>
      </c>
      <c r="J16" s="25">
        <f>((23080*6)+(23080*6))</f>
        <v>276960</v>
      </c>
      <c r="K16" s="371">
        <v>0</v>
      </c>
      <c r="L16" s="371">
        <v>0</v>
      </c>
      <c r="M16" s="369"/>
    </row>
    <row r="17" spans="1:13" x14ac:dyDescent="0.25">
      <c r="A17" s="369">
        <v>6</v>
      </c>
      <c r="B17" s="380" t="s">
        <v>188</v>
      </c>
      <c r="C17" s="370"/>
      <c r="D17" s="370" t="s">
        <v>104</v>
      </c>
      <c r="E17" s="370" t="s">
        <v>105</v>
      </c>
      <c r="F17" s="369" t="s">
        <v>66</v>
      </c>
      <c r="G17" s="370" t="s">
        <v>334</v>
      </c>
      <c r="H17" s="370" t="s">
        <v>105</v>
      </c>
      <c r="I17" s="369" t="s">
        <v>268</v>
      </c>
      <c r="J17" s="371">
        <v>309000</v>
      </c>
      <c r="K17" s="371">
        <v>0</v>
      </c>
      <c r="L17" s="371">
        <v>0</v>
      </c>
      <c r="M17" s="369"/>
    </row>
    <row r="18" spans="1:13" x14ac:dyDescent="0.25">
      <c r="A18" s="369">
        <v>7</v>
      </c>
      <c r="B18" s="370" t="s">
        <v>101</v>
      </c>
      <c r="C18" s="370" t="s">
        <v>335</v>
      </c>
      <c r="D18" s="370" t="s">
        <v>102</v>
      </c>
      <c r="E18" s="370" t="s">
        <v>17</v>
      </c>
      <c r="F18" s="369" t="s">
        <v>65</v>
      </c>
      <c r="G18" s="370" t="s">
        <v>336</v>
      </c>
      <c r="H18" s="370" t="s">
        <v>271</v>
      </c>
      <c r="I18" s="369" t="s">
        <v>267</v>
      </c>
      <c r="J18" s="25">
        <f>((26580*6)+(26980*6))</f>
        <v>321360</v>
      </c>
      <c r="K18" s="371">
        <v>0</v>
      </c>
      <c r="L18" s="371">
        <v>0</v>
      </c>
      <c r="M18" s="369"/>
    </row>
    <row r="19" spans="1:13" x14ac:dyDescent="0.25">
      <c r="A19" s="369">
        <v>8</v>
      </c>
      <c r="B19" s="378" t="s">
        <v>337</v>
      </c>
      <c r="C19" s="370" t="s">
        <v>338</v>
      </c>
      <c r="D19" s="370" t="s">
        <v>106</v>
      </c>
      <c r="E19" s="370" t="s">
        <v>107</v>
      </c>
      <c r="F19" s="369" t="s">
        <v>66</v>
      </c>
      <c r="G19" s="370" t="s">
        <v>339</v>
      </c>
      <c r="H19" s="370" t="s">
        <v>107</v>
      </c>
      <c r="I19" s="369" t="s">
        <v>269</v>
      </c>
      <c r="J19" s="372">
        <f>(7140+33310)/2*12</f>
        <v>242700</v>
      </c>
      <c r="K19" s="371">
        <v>0</v>
      </c>
      <c r="L19" s="371">
        <v>0</v>
      </c>
      <c r="M19" s="369"/>
    </row>
    <row r="20" spans="1:13" x14ac:dyDescent="0.25">
      <c r="A20" s="369">
        <v>9</v>
      </c>
      <c r="B20" s="380" t="s">
        <v>188</v>
      </c>
      <c r="C20" s="370"/>
      <c r="D20" s="369" t="s">
        <v>182</v>
      </c>
      <c r="E20" s="378" t="s">
        <v>179</v>
      </c>
      <c r="F20" s="369" t="s">
        <v>66</v>
      </c>
      <c r="G20" s="370" t="s">
        <v>346</v>
      </c>
      <c r="H20" s="370" t="s">
        <v>179</v>
      </c>
      <c r="I20" s="369" t="s">
        <v>268</v>
      </c>
      <c r="J20" s="25">
        <v>309000</v>
      </c>
      <c r="K20" s="371">
        <v>0</v>
      </c>
      <c r="L20" s="371">
        <v>0</v>
      </c>
      <c r="M20" s="369"/>
    </row>
    <row r="21" spans="1:13" x14ac:dyDescent="0.25">
      <c r="A21" s="369">
        <v>10</v>
      </c>
      <c r="B21" s="370" t="s">
        <v>340</v>
      </c>
      <c r="C21" s="370" t="s">
        <v>335</v>
      </c>
      <c r="D21" s="369" t="s">
        <v>181</v>
      </c>
      <c r="E21" s="378" t="s">
        <v>180</v>
      </c>
      <c r="F21" s="369">
        <v>4</v>
      </c>
      <c r="G21" s="370" t="s">
        <v>341</v>
      </c>
      <c r="H21" s="370" t="s">
        <v>273</v>
      </c>
      <c r="I21" s="369" t="s">
        <v>269</v>
      </c>
      <c r="J21" s="25">
        <f>((18480*6)+(18520*6))</f>
        <v>222000</v>
      </c>
      <c r="K21" s="371">
        <v>0</v>
      </c>
      <c r="L21" s="371">
        <v>0</v>
      </c>
      <c r="M21" s="369"/>
    </row>
    <row r="22" spans="1:13" x14ac:dyDescent="0.25">
      <c r="A22" s="369">
        <v>11</v>
      </c>
      <c r="B22" s="380" t="s">
        <v>188</v>
      </c>
      <c r="C22" s="370"/>
      <c r="D22" s="370" t="s">
        <v>108</v>
      </c>
      <c r="E22" s="378" t="s">
        <v>109</v>
      </c>
      <c r="F22" s="373" t="s">
        <v>110</v>
      </c>
      <c r="G22" s="370" t="s">
        <v>342</v>
      </c>
      <c r="H22" s="370" t="s">
        <v>109</v>
      </c>
      <c r="I22" s="373" t="s">
        <v>270</v>
      </c>
      <c r="J22" s="372">
        <v>256440</v>
      </c>
      <c r="K22" s="371">
        <v>0</v>
      </c>
      <c r="L22" s="371">
        <v>0</v>
      </c>
      <c r="M22" s="369"/>
    </row>
    <row r="23" spans="1:13" x14ac:dyDescent="0.25">
      <c r="A23" s="369">
        <v>12</v>
      </c>
      <c r="B23" s="380" t="s">
        <v>188</v>
      </c>
      <c r="C23" s="370"/>
      <c r="D23" s="369" t="s">
        <v>244</v>
      </c>
      <c r="E23" s="378" t="s">
        <v>243</v>
      </c>
      <c r="F23" s="374" t="s">
        <v>110</v>
      </c>
      <c r="G23" s="369" t="s">
        <v>343</v>
      </c>
      <c r="H23" s="370" t="s">
        <v>243</v>
      </c>
      <c r="I23" s="373" t="s">
        <v>270</v>
      </c>
      <c r="J23" s="372">
        <v>256440</v>
      </c>
      <c r="K23" s="371">
        <v>0</v>
      </c>
      <c r="L23" s="371">
        <v>0</v>
      </c>
      <c r="M23" s="369"/>
    </row>
    <row r="24" spans="1:13" x14ac:dyDescent="0.25">
      <c r="A24" s="369">
        <v>13</v>
      </c>
      <c r="B24" s="370" t="s">
        <v>183</v>
      </c>
      <c r="C24" s="370" t="s">
        <v>347</v>
      </c>
      <c r="D24" s="370" t="s">
        <v>112</v>
      </c>
      <c r="E24" s="370" t="s">
        <v>13</v>
      </c>
      <c r="F24" s="374" t="s">
        <v>111</v>
      </c>
      <c r="G24" s="370" t="s">
        <v>344</v>
      </c>
      <c r="H24" s="370" t="s">
        <v>274</v>
      </c>
      <c r="I24" s="374" t="s">
        <v>272</v>
      </c>
      <c r="J24" s="25">
        <f>((11490*6)+(11510*6))</f>
        <v>138000</v>
      </c>
      <c r="K24" s="371">
        <v>0</v>
      </c>
      <c r="L24" s="371">
        <v>0</v>
      </c>
      <c r="M24" s="369"/>
    </row>
    <row r="25" spans="1:13" x14ac:dyDescent="0.25">
      <c r="A25" s="369">
        <v>14</v>
      </c>
      <c r="B25" s="370" t="s">
        <v>113</v>
      </c>
      <c r="C25" s="370" t="s">
        <v>348</v>
      </c>
      <c r="D25" s="370" t="s">
        <v>122</v>
      </c>
      <c r="E25" s="370" t="s">
        <v>345</v>
      </c>
      <c r="F25" s="369" t="s">
        <v>175</v>
      </c>
      <c r="G25" s="370" t="s">
        <v>122</v>
      </c>
      <c r="H25" s="370" t="s">
        <v>345</v>
      </c>
      <c r="I25" s="369" t="s">
        <v>175</v>
      </c>
      <c r="J25" s="372">
        <v>0</v>
      </c>
      <c r="K25" s="372">
        <v>0</v>
      </c>
      <c r="L25" s="372">
        <v>0</v>
      </c>
      <c r="M25" s="369"/>
    </row>
    <row r="26" spans="1:13" x14ac:dyDescent="0.25">
      <c r="A26" s="369">
        <v>15</v>
      </c>
      <c r="B26" s="370" t="s">
        <v>114</v>
      </c>
      <c r="C26" s="370" t="s">
        <v>349</v>
      </c>
      <c r="D26" s="370" t="s">
        <v>123</v>
      </c>
      <c r="E26" s="370" t="s">
        <v>345</v>
      </c>
      <c r="F26" s="369" t="s">
        <v>175</v>
      </c>
      <c r="G26" s="370" t="s">
        <v>123</v>
      </c>
      <c r="H26" s="370" t="s">
        <v>345</v>
      </c>
      <c r="I26" s="369" t="s">
        <v>175</v>
      </c>
      <c r="J26" s="372">
        <v>0</v>
      </c>
      <c r="K26" s="372">
        <v>0</v>
      </c>
      <c r="L26" s="372">
        <v>0</v>
      </c>
      <c r="M26" s="369"/>
    </row>
    <row r="27" spans="1:13" x14ac:dyDescent="0.25">
      <c r="A27" s="369">
        <v>16</v>
      </c>
      <c r="B27" s="370" t="s">
        <v>115</v>
      </c>
      <c r="C27" s="370" t="s">
        <v>350</v>
      </c>
      <c r="D27" s="370" t="s">
        <v>124</v>
      </c>
      <c r="E27" s="370" t="s">
        <v>345</v>
      </c>
      <c r="F27" s="369" t="s">
        <v>175</v>
      </c>
      <c r="G27" s="370" t="s">
        <v>124</v>
      </c>
      <c r="H27" s="370" t="s">
        <v>345</v>
      </c>
      <c r="I27" s="369" t="s">
        <v>175</v>
      </c>
      <c r="J27" s="372">
        <v>0</v>
      </c>
      <c r="K27" s="372">
        <v>0</v>
      </c>
      <c r="L27" s="372">
        <v>0</v>
      </c>
      <c r="M27" s="369"/>
    </row>
    <row r="28" spans="1:13" x14ac:dyDescent="0.25">
      <c r="A28" s="369">
        <v>17</v>
      </c>
      <c r="B28" s="370" t="s">
        <v>116</v>
      </c>
      <c r="C28" s="370" t="s">
        <v>350</v>
      </c>
      <c r="D28" s="370" t="s">
        <v>119</v>
      </c>
      <c r="E28" s="370" t="s">
        <v>345</v>
      </c>
      <c r="F28" s="369" t="s">
        <v>175</v>
      </c>
      <c r="G28" s="370" t="s">
        <v>119</v>
      </c>
      <c r="H28" s="370" t="s">
        <v>345</v>
      </c>
      <c r="I28" s="369" t="s">
        <v>175</v>
      </c>
      <c r="J28" s="372">
        <v>0</v>
      </c>
      <c r="K28" s="372">
        <v>0</v>
      </c>
      <c r="L28" s="372">
        <v>0</v>
      </c>
      <c r="M28" s="369"/>
    </row>
    <row r="29" spans="1:13" x14ac:dyDescent="0.25">
      <c r="A29" s="369">
        <v>18</v>
      </c>
      <c r="B29" s="370" t="s">
        <v>117</v>
      </c>
      <c r="C29" s="370" t="s">
        <v>350</v>
      </c>
      <c r="D29" s="370" t="s">
        <v>120</v>
      </c>
      <c r="E29" s="370" t="s">
        <v>345</v>
      </c>
      <c r="F29" s="369" t="s">
        <v>175</v>
      </c>
      <c r="G29" s="370" t="s">
        <v>120</v>
      </c>
      <c r="H29" s="370" t="s">
        <v>345</v>
      </c>
      <c r="I29" s="369" t="s">
        <v>175</v>
      </c>
      <c r="J29" s="372">
        <v>0</v>
      </c>
      <c r="K29" s="372">
        <v>0</v>
      </c>
      <c r="L29" s="372">
        <v>0</v>
      </c>
      <c r="M29" s="369"/>
    </row>
    <row r="30" spans="1:13" x14ac:dyDescent="0.25">
      <c r="A30" s="360">
        <v>19</v>
      </c>
      <c r="B30" s="361" t="s">
        <v>118</v>
      </c>
      <c r="C30" s="361" t="s">
        <v>184</v>
      </c>
      <c r="D30" s="361" t="s">
        <v>121</v>
      </c>
      <c r="E30" s="361" t="s">
        <v>345</v>
      </c>
      <c r="F30" s="360" t="s">
        <v>175</v>
      </c>
      <c r="G30" s="361" t="s">
        <v>121</v>
      </c>
      <c r="H30" s="361" t="s">
        <v>345</v>
      </c>
      <c r="I30" s="360" t="s">
        <v>175</v>
      </c>
      <c r="J30" s="381">
        <v>0</v>
      </c>
      <c r="K30" s="381">
        <v>0</v>
      </c>
      <c r="L30" s="381">
        <v>0</v>
      </c>
      <c r="M30" s="360"/>
    </row>
    <row r="31" spans="1:13" x14ac:dyDescent="0.25">
      <c r="A31" s="376">
        <v>20</v>
      </c>
      <c r="B31" s="423" t="s">
        <v>188</v>
      </c>
      <c r="C31" s="375"/>
      <c r="D31" s="375"/>
      <c r="E31" s="375" t="s">
        <v>257</v>
      </c>
      <c r="F31" s="376" t="s">
        <v>175</v>
      </c>
      <c r="G31" s="375" t="s">
        <v>122</v>
      </c>
      <c r="H31" s="375" t="s">
        <v>257</v>
      </c>
      <c r="I31" s="360" t="s">
        <v>175</v>
      </c>
      <c r="J31" s="381">
        <v>0</v>
      </c>
      <c r="K31" s="381">
        <v>0</v>
      </c>
      <c r="L31" s="381">
        <v>0</v>
      </c>
      <c r="M31" s="376"/>
    </row>
    <row r="32" spans="1:13" ht="9" customHeight="1" x14ac:dyDescent="0.25">
      <c r="A32" s="346"/>
      <c r="B32" s="156"/>
      <c r="C32" s="156"/>
      <c r="D32" s="156"/>
      <c r="E32" s="156"/>
      <c r="F32" s="346"/>
      <c r="G32" s="156"/>
      <c r="H32" s="156"/>
      <c r="I32" s="346"/>
      <c r="J32" s="157"/>
      <c r="K32" s="157"/>
      <c r="L32" s="157"/>
      <c r="M32" s="235"/>
    </row>
    <row r="33" spans="1:13" x14ac:dyDescent="0.25">
      <c r="A33" s="281"/>
      <c r="B33" s="281"/>
      <c r="C33" s="281"/>
      <c r="D33" s="281"/>
      <c r="E33" s="281"/>
      <c r="F33" s="281"/>
      <c r="G33" s="281"/>
      <c r="H33" s="281"/>
      <c r="I33" s="281"/>
      <c r="J33" s="281"/>
      <c r="K33" s="281"/>
      <c r="L33" s="281"/>
      <c r="M33" s="237"/>
    </row>
    <row r="34" spans="1:13" x14ac:dyDescent="0.25">
      <c r="A34" s="435" t="s">
        <v>248</v>
      </c>
      <c r="B34" s="435"/>
      <c r="C34" s="435"/>
      <c r="D34" s="435"/>
      <c r="E34" s="435"/>
      <c r="F34" s="435"/>
      <c r="G34" s="435"/>
      <c r="H34" s="435"/>
      <c r="I34" s="435"/>
      <c r="J34" s="435"/>
      <c r="K34" s="435"/>
      <c r="L34" s="435"/>
      <c r="M34" s="435"/>
    </row>
    <row r="35" spans="1:13" x14ac:dyDescent="0.25">
      <c r="A35" s="348"/>
      <c r="B35" s="128"/>
      <c r="C35" s="128"/>
      <c r="D35" s="128"/>
      <c r="E35" s="128"/>
      <c r="F35" s="128"/>
      <c r="G35" s="128"/>
      <c r="H35" s="128"/>
      <c r="I35" s="348"/>
      <c r="J35" s="128"/>
      <c r="K35" s="128"/>
      <c r="L35" s="128"/>
      <c r="M35" s="128"/>
    </row>
    <row r="36" spans="1:13" x14ac:dyDescent="0.25">
      <c r="A36" s="436" t="s">
        <v>5</v>
      </c>
      <c r="B36" s="436" t="s">
        <v>73</v>
      </c>
      <c r="C36" s="349" t="s">
        <v>74</v>
      </c>
      <c r="D36" s="439" t="s">
        <v>77</v>
      </c>
      <c r="E36" s="440"/>
      <c r="F36" s="440"/>
      <c r="G36" s="439" t="s">
        <v>78</v>
      </c>
      <c r="H36" s="440"/>
      <c r="I36" s="441"/>
      <c r="J36" s="442" t="s">
        <v>79</v>
      </c>
      <c r="K36" s="443"/>
      <c r="L36" s="444"/>
      <c r="M36" s="350"/>
    </row>
    <row r="37" spans="1:13" x14ac:dyDescent="0.25">
      <c r="A37" s="437"/>
      <c r="B37" s="437"/>
      <c r="C37" s="351" t="s">
        <v>75</v>
      </c>
      <c r="D37" s="436" t="s">
        <v>76</v>
      </c>
      <c r="E37" s="436" t="s">
        <v>9</v>
      </c>
      <c r="F37" s="436" t="s">
        <v>7</v>
      </c>
      <c r="G37" s="436" t="s">
        <v>76</v>
      </c>
      <c r="H37" s="436" t="s">
        <v>9</v>
      </c>
      <c r="I37" s="436" t="s">
        <v>7</v>
      </c>
      <c r="J37" s="436" t="s">
        <v>79</v>
      </c>
      <c r="K37" s="436" t="s">
        <v>80</v>
      </c>
      <c r="L37" s="349" t="s">
        <v>81</v>
      </c>
      <c r="M37" s="352" t="s">
        <v>59</v>
      </c>
    </row>
    <row r="38" spans="1:13" x14ac:dyDescent="0.25">
      <c r="A38" s="438"/>
      <c r="B38" s="438"/>
      <c r="C38" s="353"/>
      <c r="D38" s="438"/>
      <c r="E38" s="438"/>
      <c r="F38" s="438"/>
      <c r="G38" s="438"/>
      <c r="H38" s="438"/>
      <c r="I38" s="438"/>
      <c r="J38" s="438"/>
      <c r="K38" s="438"/>
      <c r="L38" s="354" t="s">
        <v>82</v>
      </c>
      <c r="M38" s="355"/>
    </row>
    <row r="39" spans="1:13" x14ac:dyDescent="0.25">
      <c r="A39" s="384"/>
      <c r="B39" s="385" t="s">
        <v>41</v>
      </c>
      <c r="C39" s="350"/>
      <c r="D39" s="384"/>
      <c r="E39" s="384"/>
      <c r="F39" s="384"/>
      <c r="G39" s="384"/>
      <c r="H39" s="384"/>
      <c r="I39" s="384"/>
      <c r="J39" s="384"/>
      <c r="K39" s="384"/>
      <c r="L39" s="349"/>
      <c r="M39" s="386"/>
    </row>
    <row r="40" spans="1:13" x14ac:dyDescent="0.25">
      <c r="A40" s="387">
        <v>21</v>
      </c>
      <c r="B40" s="377" t="s">
        <v>125</v>
      </c>
      <c r="C40" s="377" t="s">
        <v>350</v>
      </c>
      <c r="D40" s="387" t="s">
        <v>175</v>
      </c>
      <c r="E40" s="377" t="s">
        <v>51</v>
      </c>
      <c r="F40" s="387" t="s">
        <v>175</v>
      </c>
      <c r="G40" s="387" t="s">
        <v>175</v>
      </c>
      <c r="H40" s="377" t="s">
        <v>51</v>
      </c>
      <c r="I40" s="387" t="s">
        <v>175</v>
      </c>
      <c r="J40" s="403">
        <v>0</v>
      </c>
      <c r="K40" s="403">
        <v>0</v>
      </c>
      <c r="L40" s="403">
        <v>0</v>
      </c>
      <c r="M40" s="377"/>
    </row>
    <row r="41" spans="1:13" x14ac:dyDescent="0.25">
      <c r="A41" s="369">
        <v>22</v>
      </c>
      <c r="B41" s="370" t="s">
        <v>126</v>
      </c>
      <c r="C41" s="370" t="s">
        <v>350</v>
      </c>
      <c r="D41" s="387" t="s">
        <v>175</v>
      </c>
      <c r="E41" s="370" t="s">
        <v>50</v>
      </c>
      <c r="F41" s="387" t="s">
        <v>175</v>
      </c>
      <c r="G41" s="387" t="s">
        <v>175</v>
      </c>
      <c r="H41" s="370" t="s">
        <v>50</v>
      </c>
      <c r="I41" s="387" t="s">
        <v>175</v>
      </c>
      <c r="J41" s="372">
        <v>0</v>
      </c>
      <c r="K41" s="372">
        <v>0</v>
      </c>
      <c r="L41" s="372">
        <v>0</v>
      </c>
      <c r="M41" s="370"/>
    </row>
    <row r="42" spans="1:13" x14ac:dyDescent="0.25">
      <c r="A42" s="369">
        <v>23</v>
      </c>
      <c r="B42" s="370" t="s">
        <v>127</v>
      </c>
      <c r="C42" s="370" t="s">
        <v>350</v>
      </c>
      <c r="D42" s="387" t="s">
        <v>175</v>
      </c>
      <c r="E42" s="370" t="s">
        <v>50</v>
      </c>
      <c r="F42" s="387" t="s">
        <v>175</v>
      </c>
      <c r="G42" s="387" t="s">
        <v>175</v>
      </c>
      <c r="H42" s="370" t="s">
        <v>50</v>
      </c>
      <c r="I42" s="387" t="s">
        <v>175</v>
      </c>
      <c r="J42" s="372">
        <v>0</v>
      </c>
      <c r="K42" s="372">
        <v>0</v>
      </c>
      <c r="L42" s="372">
        <v>0</v>
      </c>
      <c r="M42" s="370"/>
    </row>
    <row r="43" spans="1:13" x14ac:dyDescent="0.25">
      <c r="A43" s="387">
        <v>24</v>
      </c>
      <c r="B43" s="370" t="s">
        <v>128</v>
      </c>
      <c r="C43" s="370" t="s">
        <v>350</v>
      </c>
      <c r="D43" s="387" t="s">
        <v>175</v>
      </c>
      <c r="E43" s="370" t="s">
        <v>50</v>
      </c>
      <c r="F43" s="387" t="s">
        <v>175</v>
      </c>
      <c r="G43" s="387" t="s">
        <v>175</v>
      </c>
      <c r="H43" s="370" t="s">
        <v>50</v>
      </c>
      <c r="I43" s="387" t="s">
        <v>175</v>
      </c>
      <c r="J43" s="372">
        <v>0</v>
      </c>
      <c r="K43" s="372">
        <v>0</v>
      </c>
      <c r="L43" s="372">
        <v>0</v>
      </c>
      <c r="M43" s="370"/>
    </row>
    <row r="44" spans="1:13" x14ac:dyDescent="0.25">
      <c r="A44" s="369">
        <v>25</v>
      </c>
      <c r="B44" s="370" t="s">
        <v>129</v>
      </c>
      <c r="C44" s="370" t="s">
        <v>351</v>
      </c>
      <c r="D44" s="387" t="s">
        <v>175</v>
      </c>
      <c r="E44" s="370" t="s">
        <v>52</v>
      </c>
      <c r="F44" s="387" t="s">
        <v>175</v>
      </c>
      <c r="G44" s="387" t="s">
        <v>175</v>
      </c>
      <c r="H44" s="370" t="s">
        <v>52</v>
      </c>
      <c r="I44" s="387" t="s">
        <v>175</v>
      </c>
      <c r="J44" s="25">
        <f>16890*12</f>
        <v>202680</v>
      </c>
      <c r="K44" s="371">
        <v>0</v>
      </c>
      <c r="L44" s="371">
        <v>0</v>
      </c>
      <c r="M44" s="370"/>
    </row>
    <row r="45" spans="1:13" x14ac:dyDescent="0.25">
      <c r="A45" s="369">
        <v>26</v>
      </c>
      <c r="B45" s="380" t="s">
        <v>188</v>
      </c>
      <c r="C45" s="370"/>
      <c r="D45" s="387" t="s">
        <v>175</v>
      </c>
      <c r="E45" s="369" t="s">
        <v>193</v>
      </c>
      <c r="F45" s="387" t="s">
        <v>175</v>
      </c>
      <c r="G45" s="387" t="s">
        <v>175</v>
      </c>
      <c r="H45" s="388" t="s">
        <v>193</v>
      </c>
      <c r="I45" s="387" t="s">
        <v>175</v>
      </c>
      <c r="J45" s="414">
        <f>11500*12</f>
        <v>138000</v>
      </c>
      <c r="K45" s="371">
        <v>0</v>
      </c>
      <c r="L45" s="371">
        <v>0</v>
      </c>
      <c r="M45" s="369"/>
    </row>
    <row r="46" spans="1:13" x14ac:dyDescent="0.25">
      <c r="A46" s="387">
        <v>27</v>
      </c>
      <c r="B46" s="370" t="s">
        <v>130</v>
      </c>
      <c r="C46" s="370" t="s">
        <v>352</v>
      </c>
      <c r="D46" s="387" t="s">
        <v>175</v>
      </c>
      <c r="E46" s="370" t="s">
        <v>49</v>
      </c>
      <c r="F46" s="387" t="s">
        <v>175</v>
      </c>
      <c r="G46" s="387" t="s">
        <v>175</v>
      </c>
      <c r="H46" s="370" t="s">
        <v>49</v>
      </c>
      <c r="I46" s="387" t="s">
        <v>175</v>
      </c>
      <c r="J46" s="25">
        <f>12320*12</f>
        <v>147840</v>
      </c>
      <c r="K46" s="371">
        <v>0</v>
      </c>
      <c r="L46" s="371">
        <v>0</v>
      </c>
      <c r="M46" s="370"/>
    </row>
    <row r="47" spans="1:13" x14ac:dyDescent="0.25">
      <c r="A47" s="369">
        <v>28</v>
      </c>
      <c r="B47" s="370" t="s">
        <v>131</v>
      </c>
      <c r="C47" s="370" t="s">
        <v>171</v>
      </c>
      <c r="D47" s="387" t="s">
        <v>175</v>
      </c>
      <c r="E47" s="370" t="s">
        <v>48</v>
      </c>
      <c r="F47" s="387" t="s">
        <v>175</v>
      </c>
      <c r="G47" s="387" t="s">
        <v>175</v>
      </c>
      <c r="H47" s="370" t="s">
        <v>48</v>
      </c>
      <c r="I47" s="387" t="s">
        <v>175</v>
      </c>
      <c r="J47" s="25">
        <f>11420*12</f>
        <v>137040</v>
      </c>
      <c r="K47" s="371">
        <v>0</v>
      </c>
      <c r="L47" s="371">
        <v>0</v>
      </c>
      <c r="M47" s="370"/>
    </row>
    <row r="48" spans="1:13" x14ac:dyDescent="0.25">
      <c r="A48" s="369">
        <v>29</v>
      </c>
      <c r="B48" s="370" t="s">
        <v>133</v>
      </c>
      <c r="C48" s="370" t="s">
        <v>171</v>
      </c>
      <c r="D48" s="387" t="s">
        <v>175</v>
      </c>
      <c r="E48" s="370" t="s">
        <v>132</v>
      </c>
      <c r="F48" s="387" t="s">
        <v>175</v>
      </c>
      <c r="G48" s="387" t="s">
        <v>175</v>
      </c>
      <c r="H48" s="370" t="s">
        <v>132</v>
      </c>
      <c r="I48" s="387" t="s">
        <v>175</v>
      </c>
      <c r="J48" s="25">
        <f>10480*12</f>
        <v>125760</v>
      </c>
      <c r="K48" s="371">
        <v>0</v>
      </c>
      <c r="L48" s="371">
        <v>0</v>
      </c>
      <c r="M48" s="370"/>
    </row>
    <row r="49" spans="1:13" x14ac:dyDescent="0.25">
      <c r="A49" s="387">
        <v>30</v>
      </c>
      <c r="B49" s="370" t="s">
        <v>353</v>
      </c>
      <c r="C49" s="370" t="s">
        <v>171</v>
      </c>
      <c r="D49" s="387" t="s">
        <v>175</v>
      </c>
      <c r="E49" s="415" t="s">
        <v>194</v>
      </c>
      <c r="F49" s="387" t="s">
        <v>175</v>
      </c>
      <c r="G49" s="387" t="s">
        <v>175</v>
      </c>
      <c r="H49" s="370" t="s">
        <v>194</v>
      </c>
      <c r="I49" s="387" t="s">
        <v>175</v>
      </c>
      <c r="J49" s="25">
        <f>9400*12</f>
        <v>112800</v>
      </c>
      <c r="K49" s="371">
        <v>0</v>
      </c>
      <c r="L49" s="371">
        <v>0</v>
      </c>
      <c r="M49" s="370"/>
    </row>
    <row r="50" spans="1:13" x14ac:dyDescent="0.25">
      <c r="A50" s="351"/>
      <c r="B50" s="367" t="s">
        <v>38</v>
      </c>
      <c r="C50" s="358"/>
      <c r="D50" s="351"/>
      <c r="E50" s="358"/>
      <c r="F50" s="351"/>
      <c r="G50" s="351"/>
      <c r="H50" s="358"/>
      <c r="I50" s="351"/>
      <c r="J50" s="359"/>
      <c r="K50" s="359"/>
      <c r="L50" s="359"/>
      <c r="M50" s="358"/>
    </row>
    <row r="51" spans="1:13" x14ac:dyDescent="0.25">
      <c r="A51" s="387">
        <v>31</v>
      </c>
      <c r="B51" s="377" t="s">
        <v>134</v>
      </c>
      <c r="C51" s="377"/>
      <c r="D51" s="387" t="s">
        <v>175</v>
      </c>
      <c r="E51" s="377" t="s">
        <v>46</v>
      </c>
      <c r="F51" s="387" t="s">
        <v>175</v>
      </c>
      <c r="G51" s="387" t="s">
        <v>175</v>
      </c>
      <c r="H51" s="377" t="s">
        <v>46</v>
      </c>
      <c r="I51" s="387" t="s">
        <v>175</v>
      </c>
      <c r="J51" s="36">
        <f>12810*12</f>
        <v>153720</v>
      </c>
      <c r="K51" s="389">
        <v>0</v>
      </c>
      <c r="L51" s="389">
        <v>0</v>
      </c>
      <c r="M51" s="377"/>
    </row>
    <row r="52" spans="1:13" x14ac:dyDescent="0.25">
      <c r="A52" s="351"/>
      <c r="B52" s="367" t="s">
        <v>36</v>
      </c>
      <c r="C52" s="358"/>
      <c r="D52" s="360"/>
      <c r="E52" s="358"/>
      <c r="F52" s="360"/>
      <c r="G52" s="360"/>
      <c r="H52" s="358"/>
      <c r="I52" s="360"/>
      <c r="J52" s="359"/>
      <c r="K52" s="359"/>
      <c r="L52" s="359"/>
      <c r="M52" s="358"/>
    </row>
    <row r="53" spans="1:13" x14ac:dyDescent="0.25">
      <c r="A53" s="387">
        <v>32</v>
      </c>
      <c r="B53" s="377" t="s">
        <v>135</v>
      </c>
      <c r="C53" s="377"/>
      <c r="D53" s="387" t="s">
        <v>175</v>
      </c>
      <c r="E53" s="390" t="s">
        <v>47</v>
      </c>
      <c r="F53" s="387" t="s">
        <v>175</v>
      </c>
      <c r="G53" s="387" t="s">
        <v>175</v>
      </c>
      <c r="H53" s="390" t="s">
        <v>47</v>
      </c>
      <c r="I53" s="387" t="s">
        <v>175</v>
      </c>
      <c r="J53" s="389">
        <f>9000*12</f>
        <v>108000</v>
      </c>
      <c r="K53" s="389">
        <v>0</v>
      </c>
      <c r="L53" s="389">
        <v>0</v>
      </c>
      <c r="M53" s="358"/>
    </row>
    <row r="54" spans="1:13" x14ac:dyDescent="0.25">
      <c r="A54" s="369">
        <v>33</v>
      </c>
      <c r="B54" s="370" t="s">
        <v>136</v>
      </c>
      <c r="C54" s="370"/>
      <c r="D54" s="387" t="s">
        <v>175</v>
      </c>
      <c r="E54" s="388" t="s">
        <v>47</v>
      </c>
      <c r="F54" s="387" t="s">
        <v>175</v>
      </c>
      <c r="G54" s="387" t="s">
        <v>175</v>
      </c>
      <c r="H54" s="388" t="s">
        <v>47</v>
      </c>
      <c r="I54" s="387" t="s">
        <v>175</v>
      </c>
      <c r="J54" s="371">
        <f>9000*12</f>
        <v>108000</v>
      </c>
      <c r="K54" s="371">
        <v>0</v>
      </c>
      <c r="L54" s="371">
        <v>0</v>
      </c>
      <c r="M54" s="370"/>
    </row>
    <row r="55" spans="1:13" x14ac:dyDescent="0.25">
      <c r="A55" s="369">
        <v>34</v>
      </c>
      <c r="B55" s="370" t="s">
        <v>137</v>
      </c>
      <c r="C55" s="370"/>
      <c r="D55" s="387" t="s">
        <v>175</v>
      </c>
      <c r="E55" s="370" t="s">
        <v>46</v>
      </c>
      <c r="F55" s="387" t="s">
        <v>175</v>
      </c>
      <c r="G55" s="387" t="s">
        <v>175</v>
      </c>
      <c r="H55" s="370" t="s">
        <v>46</v>
      </c>
      <c r="I55" s="387" t="s">
        <v>175</v>
      </c>
      <c r="J55" s="371">
        <f>9000*12</f>
        <v>108000</v>
      </c>
      <c r="K55" s="371">
        <v>0</v>
      </c>
      <c r="L55" s="371">
        <v>0</v>
      </c>
      <c r="M55" s="370"/>
    </row>
    <row r="56" spans="1:13" x14ac:dyDescent="0.25">
      <c r="A56" s="369">
        <v>35</v>
      </c>
      <c r="B56" s="370" t="s">
        <v>138</v>
      </c>
      <c r="C56" s="370"/>
      <c r="D56" s="369" t="s">
        <v>175</v>
      </c>
      <c r="E56" s="370" t="s">
        <v>45</v>
      </c>
      <c r="F56" s="369" t="s">
        <v>175</v>
      </c>
      <c r="G56" s="369" t="s">
        <v>175</v>
      </c>
      <c r="H56" s="370" t="s">
        <v>45</v>
      </c>
      <c r="I56" s="369" t="s">
        <v>175</v>
      </c>
      <c r="J56" s="371">
        <f>9000*12</f>
        <v>108000</v>
      </c>
      <c r="K56" s="371">
        <v>0</v>
      </c>
      <c r="L56" s="371">
        <v>0</v>
      </c>
      <c r="M56" s="370"/>
    </row>
    <row r="57" spans="1:13" ht="15.75" thickBot="1" x14ac:dyDescent="0.3">
      <c r="A57" s="391">
        <v>36</v>
      </c>
      <c r="B57" s="391" t="s">
        <v>188</v>
      </c>
      <c r="C57" s="392"/>
      <c r="D57" s="391" t="s">
        <v>175</v>
      </c>
      <c r="E57" s="392" t="s">
        <v>44</v>
      </c>
      <c r="F57" s="391" t="s">
        <v>175</v>
      </c>
      <c r="G57" s="391" t="s">
        <v>175</v>
      </c>
      <c r="H57" s="392" t="s">
        <v>44</v>
      </c>
      <c r="I57" s="391" t="s">
        <v>175</v>
      </c>
      <c r="J57" s="393">
        <f>9000*12</f>
        <v>108000</v>
      </c>
      <c r="K57" s="393">
        <v>0</v>
      </c>
      <c r="L57" s="393">
        <v>0</v>
      </c>
      <c r="M57" s="392"/>
    </row>
    <row r="58" spans="1:13" x14ac:dyDescent="0.25">
      <c r="A58" s="351"/>
      <c r="B58" s="367" t="s">
        <v>140</v>
      </c>
      <c r="C58" s="358"/>
      <c r="D58" s="358"/>
      <c r="E58" s="358"/>
      <c r="F58" s="358"/>
      <c r="G58" s="358"/>
      <c r="H58" s="358"/>
      <c r="I58" s="358"/>
      <c r="J58" s="359"/>
      <c r="K58" s="359"/>
      <c r="L58" s="359"/>
      <c r="M58" s="358"/>
    </row>
    <row r="59" spans="1:13" x14ac:dyDescent="0.25">
      <c r="A59" s="351"/>
      <c r="B59" s="367" t="s">
        <v>187</v>
      </c>
      <c r="C59" s="358"/>
      <c r="D59" s="358"/>
      <c r="E59" s="358"/>
      <c r="F59" s="358"/>
      <c r="G59" s="358"/>
      <c r="H59" s="358"/>
      <c r="I59" s="358"/>
      <c r="J59" s="359"/>
      <c r="K59" s="359"/>
      <c r="L59" s="359"/>
      <c r="M59" s="358"/>
    </row>
    <row r="60" spans="1:13" x14ac:dyDescent="0.25">
      <c r="A60" s="351">
        <v>37</v>
      </c>
      <c r="B60" s="358" t="s">
        <v>141</v>
      </c>
      <c r="C60" s="358" t="s">
        <v>354</v>
      </c>
      <c r="D60" s="358" t="s">
        <v>142</v>
      </c>
      <c r="E60" s="358" t="s">
        <v>301</v>
      </c>
      <c r="F60" s="351">
        <v>7</v>
      </c>
      <c r="G60" s="358" t="s">
        <v>355</v>
      </c>
      <c r="H60" s="358" t="s">
        <v>301</v>
      </c>
      <c r="I60" s="351" t="s">
        <v>323</v>
      </c>
      <c r="J60" s="36">
        <f>((29110*6)+(29110*6))+((3500*3)+(3500*9))</f>
        <v>391320</v>
      </c>
      <c r="K60" s="359">
        <f>3500*12</f>
        <v>42000</v>
      </c>
      <c r="L60" s="359">
        <v>0</v>
      </c>
      <c r="M60" s="368">
        <f>SUM(J60:L60)</f>
        <v>433320</v>
      </c>
    </row>
    <row r="61" spans="1:13" x14ac:dyDescent="0.25">
      <c r="A61" s="387"/>
      <c r="B61" s="377"/>
      <c r="C61" s="377"/>
      <c r="D61" s="377"/>
      <c r="E61" s="377" t="s">
        <v>356</v>
      </c>
      <c r="F61" s="387"/>
      <c r="G61" s="377"/>
      <c r="H61" s="377" t="s">
        <v>356</v>
      </c>
      <c r="I61" s="387"/>
      <c r="J61" s="389"/>
      <c r="K61" s="389"/>
      <c r="L61" s="389"/>
      <c r="M61" s="377"/>
    </row>
    <row r="62" spans="1:13" x14ac:dyDescent="0.25">
      <c r="A62" s="369">
        <v>38</v>
      </c>
      <c r="B62" s="370" t="s">
        <v>144</v>
      </c>
      <c r="C62" s="370" t="s">
        <v>354</v>
      </c>
      <c r="D62" s="370" t="s">
        <v>145</v>
      </c>
      <c r="E62" s="370" t="s">
        <v>18</v>
      </c>
      <c r="F62" s="369" t="s">
        <v>65</v>
      </c>
      <c r="G62" s="370" t="s">
        <v>357</v>
      </c>
      <c r="H62" s="370" t="s">
        <v>18</v>
      </c>
      <c r="I62" s="369" t="s">
        <v>267</v>
      </c>
      <c r="J62" s="25">
        <f>((21620*6)+(21710*6))</f>
        <v>259980</v>
      </c>
      <c r="K62" s="371">
        <v>0</v>
      </c>
      <c r="L62" s="371">
        <v>0</v>
      </c>
      <c r="M62" s="394"/>
    </row>
    <row r="63" spans="1:13" x14ac:dyDescent="0.25">
      <c r="A63" s="376">
        <v>39</v>
      </c>
      <c r="B63" s="375" t="s">
        <v>146</v>
      </c>
      <c r="C63" s="375" t="s">
        <v>359</v>
      </c>
      <c r="D63" s="375" t="s">
        <v>147</v>
      </c>
      <c r="E63" s="375" t="s">
        <v>68</v>
      </c>
      <c r="F63" s="376">
        <v>4</v>
      </c>
      <c r="G63" s="375" t="s">
        <v>358</v>
      </c>
      <c r="H63" s="375" t="s">
        <v>68</v>
      </c>
      <c r="I63" s="376" t="s">
        <v>269</v>
      </c>
      <c r="J63" s="79">
        <f>((18950*6)+(19160*6))</f>
        <v>228660</v>
      </c>
      <c r="K63" s="395">
        <v>0</v>
      </c>
      <c r="L63" s="395">
        <v>0</v>
      </c>
      <c r="M63" s="396"/>
    </row>
    <row r="64" spans="1:13" x14ac:dyDescent="0.25">
      <c r="A64" s="400"/>
      <c r="B64" s="383"/>
      <c r="C64" s="383"/>
      <c r="D64" s="383"/>
      <c r="E64" s="383"/>
      <c r="F64" s="400"/>
      <c r="G64" s="383"/>
      <c r="H64" s="383"/>
      <c r="I64" s="400"/>
      <c r="J64" s="397"/>
      <c r="K64" s="397"/>
      <c r="L64" s="397"/>
      <c r="M64" s="398"/>
    </row>
    <row r="65" spans="1:13" x14ac:dyDescent="0.25">
      <c r="A65" s="400"/>
      <c r="B65" s="383"/>
      <c r="C65" s="383"/>
      <c r="D65" s="383"/>
      <c r="E65" s="383"/>
      <c r="F65" s="400"/>
      <c r="G65" s="383"/>
      <c r="H65" s="383"/>
      <c r="I65" s="400"/>
      <c r="J65" s="397"/>
      <c r="K65" s="397"/>
      <c r="L65" s="397"/>
      <c r="M65" s="399"/>
    </row>
    <row r="66" spans="1:13" x14ac:dyDescent="0.25">
      <c r="A66" s="445"/>
      <c r="B66" s="445"/>
      <c r="C66" s="445"/>
      <c r="D66" s="445"/>
      <c r="E66" s="445"/>
      <c r="F66" s="445"/>
      <c r="G66" s="445"/>
      <c r="H66" s="445"/>
      <c r="I66" s="445"/>
      <c r="J66" s="445"/>
      <c r="K66" s="445"/>
      <c r="L66" s="445"/>
      <c r="M66" s="445"/>
    </row>
    <row r="67" spans="1:13" x14ac:dyDescent="0.25">
      <c r="A67" s="445" t="s">
        <v>249</v>
      </c>
      <c r="B67" s="445"/>
      <c r="C67" s="445"/>
      <c r="D67" s="445"/>
      <c r="E67" s="445"/>
      <c r="F67" s="445"/>
      <c r="G67" s="445"/>
      <c r="H67" s="445"/>
      <c r="I67" s="445"/>
      <c r="J67" s="445"/>
      <c r="K67" s="445"/>
      <c r="L67" s="445"/>
      <c r="M67" s="445"/>
    </row>
    <row r="68" spans="1:13" x14ac:dyDescent="0.25">
      <c r="A68" s="401"/>
      <c r="B68" s="402"/>
      <c r="C68" s="402"/>
      <c r="D68" s="402"/>
      <c r="E68" s="402"/>
      <c r="F68" s="402"/>
      <c r="G68" s="402"/>
      <c r="H68" s="402"/>
      <c r="I68" s="402"/>
      <c r="J68" s="402"/>
      <c r="K68" s="402"/>
      <c r="L68" s="402"/>
      <c r="M68" s="402"/>
    </row>
    <row r="69" spans="1:13" x14ac:dyDescent="0.25">
      <c r="A69" s="436" t="s">
        <v>5</v>
      </c>
      <c r="B69" s="436" t="s">
        <v>73</v>
      </c>
      <c r="C69" s="349" t="s">
        <v>74</v>
      </c>
      <c r="D69" s="439" t="s">
        <v>77</v>
      </c>
      <c r="E69" s="440"/>
      <c r="F69" s="440"/>
      <c r="G69" s="439" t="s">
        <v>78</v>
      </c>
      <c r="H69" s="440"/>
      <c r="I69" s="441"/>
      <c r="J69" s="442" t="s">
        <v>79</v>
      </c>
      <c r="K69" s="443"/>
      <c r="L69" s="444"/>
      <c r="M69" s="350"/>
    </row>
    <row r="70" spans="1:13" x14ac:dyDescent="0.25">
      <c r="A70" s="437"/>
      <c r="B70" s="437"/>
      <c r="C70" s="351" t="s">
        <v>75</v>
      </c>
      <c r="D70" s="436" t="s">
        <v>76</v>
      </c>
      <c r="E70" s="436" t="s">
        <v>9</v>
      </c>
      <c r="F70" s="436" t="s">
        <v>7</v>
      </c>
      <c r="G70" s="436" t="s">
        <v>76</v>
      </c>
      <c r="H70" s="436" t="s">
        <v>9</v>
      </c>
      <c r="I70" s="436" t="s">
        <v>7</v>
      </c>
      <c r="J70" s="436" t="s">
        <v>79</v>
      </c>
      <c r="K70" s="436" t="s">
        <v>80</v>
      </c>
      <c r="L70" s="349" t="s">
        <v>81</v>
      </c>
      <c r="M70" s="352" t="s">
        <v>59</v>
      </c>
    </row>
    <row r="71" spans="1:13" x14ac:dyDescent="0.25">
      <c r="A71" s="438"/>
      <c r="B71" s="438"/>
      <c r="C71" s="353"/>
      <c r="D71" s="438"/>
      <c r="E71" s="438"/>
      <c r="F71" s="438"/>
      <c r="G71" s="438"/>
      <c r="H71" s="438"/>
      <c r="I71" s="438"/>
      <c r="J71" s="438"/>
      <c r="K71" s="438"/>
      <c r="L71" s="354" t="s">
        <v>82</v>
      </c>
      <c r="M71" s="355"/>
    </row>
    <row r="72" spans="1:13" x14ac:dyDescent="0.25">
      <c r="A72" s="352"/>
      <c r="B72" s="367" t="s">
        <v>140</v>
      </c>
      <c r="C72" s="358"/>
      <c r="D72" s="352"/>
      <c r="E72" s="352"/>
      <c r="F72" s="352"/>
      <c r="G72" s="352"/>
      <c r="H72" s="352"/>
      <c r="I72" s="352"/>
      <c r="J72" s="352"/>
      <c r="K72" s="352"/>
      <c r="L72" s="351"/>
      <c r="M72" s="352"/>
    </row>
    <row r="73" spans="1:13" x14ac:dyDescent="0.25">
      <c r="A73" s="352"/>
      <c r="B73" s="367" t="s">
        <v>187</v>
      </c>
      <c r="C73" s="358"/>
      <c r="D73" s="352"/>
      <c r="E73" s="352"/>
      <c r="F73" s="352"/>
      <c r="G73" s="352"/>
      <c r="H73" s="352"/>
      <c r="I73" s="352"/>
      <c r="J73" s="352"/>
      <c r="K73" s="352"/>
      <c r="L73" s="351"/>
      <c r="M73" s="352"/>
    </row>
    <row r="74" spans="1:13" x14ac:dyDescent="0.25">
      <c r="A74" s="387">
        <v>40</v>
      </c>
      <c r="B74" s="377" t="s">
        <v>148</v>
      </c>
      <c r="C74" s="377" t="s">
        <v>360</v>
      </c>
      <c r="D74" s="377" t="s">
        <v>149</v>
      </c>
      <c r="E74" s="377" t="s">
        <v>150</v>
      </c>
      <c r="F74" s="387">
        <v>5</v>
      </c>
      <c r="G74" s="377" t="s">
        <v>361</v>
      </c>
      <c r="H74" s="377" t="s">
        <v>150</v>
      </c>
      <c r="I74" s="387" t="s">
        <v>277</v>
      </c>
      <c r="J74" s="25">
        <f>((17200*6)+(17310*6))</f>
        <v>207060</v>
      </c>
      <c r="K74" s="389">
        <v>0</v>
      </c>
      <c r="L74" s="389">
        <v>0</v>
      </c>
      <c r="M74" s="377"/>
    </row>
    <row r="75" spans="1:13" x14ac:dyDescent="0.25">
      <c r="A75" s="369">
        <v>41</v>
      </c>
      <c r="B75" s="380" t="s">
        <v>188</v>
      </c>
      <c r="C75" s="370"/>
      <c r="D75" s="370" t="s">
        <v>151</v>
      </c>
      <c r="E75" s="370" t="s">
        <v>20</v>
      </c>
      <c r="F75" s="374" t="s">
        <v>110</v>
      </c>
      <c r="G75" s="370" t="s">
        <v>363</v>
      </c>
      <c r="H75" s="370" t="s">
        <v>20</v>
      </c>
      <c r="I75" s="374" t="s">
        <v>270</v>
      </c>
      <c r="J75" s="416">
        <v>256440</v>
      </c>
      <c r="K75" s="371">
        <v>0</v>
      </c>
      <c r="L75" s="371">
        <v>0</v>
      </c>
      <c r="M75" s="369"/>
    </row>
    <row r="76" spans="1:13" x14ac:dyDescent="0.25">
      <c r="A76" s="387">
        <v>42</v>
      </c>
      <c r="B76" s="377" t="s">
        <v>152</v>
      </c>
      <c r="C76" s="377" t="s">
        <v>362</v>
      </c>
      <c r="D76" s="377" t="s">
        <v>153</v>
      </c>
      <c r="E76" s="377" t="s">
        <v>21</v>
      </c>
      <c r="F76" s="387">
        <v>5</v>
      </c>
      <c r="G76" s="377" t="s">
        <v>364</v>
      </c>
      <c r="H76" s="377" t="s">
        <v>21</v>
      </c>
      <c r="I76" s="387" t="s">
        <v>277</v>
      </c>
      <c r="J76" s="25">
        <f>((17890*6)+(18060*6))</f>
        <v>215700</v>
      </c>
      <c r="K76" s="389">
        <v>0</v>
      </c>
      <c r="L76" s="389">
        <v>0</v>
      </c>
      <c r="M76" s="387"/>
    </row>
    <row r="77" spans="1:13" x14ac:dyDescent="0.25">
      <c r="A77" s="369">
        <v>43</v>
      </c>
      <c r="B77" s="380" t="s">
        <v>188</v>
      </c>
      <c r="C77" s="370"/>
      <c r="D77" s="370" t="s">
        <v>154</v>
      </c>
      <c r="E77" s="370" t="s">
        <v>155</v>
      </c>
      <c r="F77" s="374" t="s">
        <v>111</v>
      </c>
      <c r="G77" s="377" t="s">
        <v>365</v>
      </c>
      <c r="H77" s="370" t="s">
        <v>150</v>
      </c>
      <c r="I77" s="374" t="s">
        <v>270</v>
      </c>
      <c r="J77" s="416">
        <v>238620</v>
      </c>
      <c r="K77" s="371">
        <v>0</v>
      </c>
      <c r="L77" s="371">
        <v>0</v>
      </c>
      <c r="M77" s="369"/>
    </row>
    <row r="78" spans="1:13" x14ac:dyDescent="0.25">
      <c r="A78" s="351"/>
      <c r="B78" s="367" t="s">
        <v>26</v>
      </c>
      <c r="C78" s="358"/>
      <c r="D78" s="358"/>
      <c r="E78" s="358"/>
      <c r="F78" s="358"/>
      <c r="G78" s="358"/>
      <c r="H78" s="358"/>
      <c r="I78" s="358"/>
      <c r="J78" s="359"/>
      <c r="K78" s="359"/>
      <c r="L78" s="359"/>
      <c r="M78" s="351"/>
    </row>
    <row r="79" spans="1:13" x14ac:dyDescent="0.25">
      <c r="A79" s="387">
        <v>44</v>
      </c>
      <c r="B79" s="377" t="s">
        <v>190</v>
      </c>
      <c r="C79" s="377" t="s">
        <v>368</v>
      </c>
      <c r="D79" s="387" t="s">
        <v>175</v>
      </c>
      <c r="E79" s="377" t="s">
        <v>27</v>
      </c>
      <c r="F79" s="387" t="s">
        <v>175</v>
      </c>
      <c r="G79" s="387" t="s">
        <v>191</v>
      </c>
      <c r="H79" s="377" t="s">
        <v>27</v>
      </c>
      <c r="I79" s="387" t="s">
        <v>175</v>
      </c>
      <c r="J79" s="25">
        <f>14310*12</f>
        <v>171720</v>
      </c>
      <c r="K79" s="389">
        <v>0</v>
      </c>
      <c r="L79" s="389">
        <v>0</v>
      </c>
      <c r="M79" s="387"/>
    </row>
    <row r="80" spans="1:13" x14ac:dyDescent="0.25">
      <c r="A80" s="351"/>
      <c r="B80" s="404" t="s">
        <v>41</v>
      </c>
      <c r="C80" s="358"/>
      <c r="D80" s="358"/>
      <c r="E80" s="358"/>
      <c r="F80" s="358"/>
      <c r="G80" s="358"/>
      <c r="H80" s="358"/>
      <c r="I80" s="358"/>
      <c r="J80" s="403"/>
      <c r="K80" s="359"/>
      <c r="L80" s="359"/>
      <c r="M80" s="351"/>
    </row>
    <row r="81" spans="1:13" x14ac:dyDescent="0.25">
      <c r="A81" s="387">
        <v>45</v>
      </c>
      <c r="B81" s="377" t="s">
        <v>156</v>
      </c>
      <c r="C81" s="377" t="s">
        <v>171</v>
      </c>
      <c r="D81" s="387" t="s">
        <v>175</v>
      </c>
      <c r="E81" s="377" t="s">
        <v>49</v>
      </c>
      <c r="F81" s="387" t="s">
        <v>175</v>
      </c>
      <c r="G81" s="387" t="s">
        <v>175</v>
      </c>
      <c r="H81" s="377" t="s">
        <v>49</v>
      </c>
      <c r="I81" s="387" t="s">
        <v>175</v>
      </c>
      <c r="J81" s="52">
        <f>10740*12</f>
        <v>128880</v>
      </c>
      <c r="K81" s="389">
        <v>0</v>
      </c>
      <c r="L81" s="389">
        <v>0</v>
      </c>
      <c r="M81" s="387"/>
    </row>
    <row r="82" spans="1:13" ht="15.75" thickBot="1" x14ac:dyDescent="0.3">
      <c r="A82" s="364">
        <v>46</v>
      </c>
      <c r="B82" s="365" t="s">
        <v>366</v>
      </c>
      <c r="C82" s="365" t="s">
        <v>171</v>
      </c>
      <c r="D82" s="364" t="s">
        <v>175</v>
      </c>
      <c r="E82" s="417" t="s">
        <v>192</v>
      </c>
      <c r="F82" s="364" t="s">
        <v>175</v>
      </c>
      <c r="G82" s="364" t="s">
        <v>175</v>
      </c>
      <c r="H82" s="365" t="s">
        <v>192</v>
      </c>
      <c r="I82" s="364" t="s">
        <v>175</v>
      </c>
      <c r="J82" s="418">
        <f>9400*12</f>
        <v>112800</v>
      </c>
      <c r="K82" s="366">
        <v>0</v>
      </c>
      <c r="L82" s="366">
        <v>0</v>
      </c>
      <c r="M82" s="364"/>
    </row>
    <row r="83" spans="1:13" x14ac:dyDescent="0.25">
      <c r="A83" s="351"/>
      <c r="B83" s="367" t="s">
        <v>367</v>
      </c>
      <c r="C83" s="358"/>
      <c r="D83" s="351"/>
      <c r="E83" s="351"/>
      <c r="F83" s="351"/>
      <c r="G83" s="351"/>
      <c r="H83" s="358"/>
      <c r="I83" s="351"/>
      <c r="J83" s="359"/>
      <c r="K83" s="359"/>
      <c r="L83" s="359"/>
      <c r="M83" s="351"/>
    </row>
    <row r="84" spans="1:13" x14ac:dyDescent="0.25">
      <c r="A84" s="351"/>
      <c r="B84" s="367" t="s">
        <v>187</v>
      </c>
      <c r="C84" s="358"/>
      <c r="D84" s="351"/>
      <c r="E84" s="351"/>
      <c r="F84" s="351"/>
      <c r="G84" s="351"/>
      <c r="H84" s="358"/>
      <c r="I84" s="351"/>
      <c r="J84" s="359"/>
      <c r="K84" s="359"/>
      <c r="L84" s="359"/>
      <c r="M84" s="351"/>
    </row>
    <row r="85" spans="1:13" x14ac:dyDescent="0.25">
      <c r="A85" s="387">
        <v>47</v>
      </c>
      <c r="B85" s="377" t="s">
        <v>157</v>
      </c>
      <c r="C85" s="377" t="s">
        <v>372</v>
      </c>
      <c r="D85" s="377" t="s">
        <v>158</v>
      </c>
      <c r="E85" s="377" t="s">
        <v>369</v>
      </c>
      <c r="F85" s="387">
        <v>7</v>
      </c>
      <c r="G85" s="377" t="s">
        <v>371</v>
      </c>
      <c r="H85" s="377" t="s">
        <v>311</v>
      </c>
      <c r="I85" s="387" t="s">
        <v>323</v>
      </c>
      <c r="J85" s="36">
        <f>((25470*6)+(25470*6))+((3500*3)+(3500*9))</f>
        <v>347640</v>
      </c>
      <c r="K85" s="389">
        <f>3500*12</f>
        <v>42000</v>
      </c>
      <c r="L85" s="389">
        <v>0</v>
      </c>
      <c r="M85" s="419">
        <f>SUM(J85:L85)</f>
        <v>389640</v>
      </c>
    </row>
    <row r="86" spans="1:13" x14ac:dyDescent="0.25">
      <c r="A86" s="369"/>
      <c r="B86" s="370"/>
      <c r="C86" s="370"/>
      <c r="D86" s="370"/>
      <c r="E86" s="370" t="s">
        <v>370</v>
      </c>
      <c r="F86" s="369"/>
      <c r="G86" s="370"/>
      <c r="H86" s="370" t="s">
        <v>370</v>
      </c>
      <c r="I86" s="369"/>
      <c r="J86" s="371"/>
      <c r="K86" s="371"/>
      <c r="L86" s="371"/>
      <c r="M86" s="370"/>
    </row>
    <row r="87" spans="1:13" x14ac:dyDescent="0.25">
      <c r="A87" s="369">
        <v>48</v>
      </c>
      <c r="B87" s="380" t="s">
        <v>188</v>
      </c>
      <c r="C87" s="370" t="s">
        <v>162</v>
      </c>
      <c r="D87" s="370" t="s">
        <v>163</v>
      </c>
      <c r="E87" s="370" t="s">
        <v>23</v>
      </c>
      <c r="F87" s="369">
        <v>3</v>
      </c>
      <c r="G87" s="370" t="s">
        <v>375</v>
      </c>
      <c r="H87" s="370" t="s">
        <v>23</v>
      </c>
      <c r="I87" s="369" t="s">
        <v>270</v>
      </c>
      <c r="J87" s="371">
        <v>256440</v>
      </c>
      <c r="K87" s="371">
        <v>0</v>
      </c>
      <c r="L87" s="371">
        <v>0</v>
      </c>
      <c r="M87" s="394"/>
    </row>
    <row r="88" spans="1:13" x14ac:dyDescent="0.25">
      <c r="A88" s="369">
        <v>49</v>
      </c>
      <c r="B88" s="378" t="s">
        <v>373</v>
      </c>
      <c r="C88" s="370" t="s">
        <v>374</v>
      </c>
      <c r="D88" s="370" t="s">
        <v>166</v>
      </c>
      <c r="E88" s="370" t="s">
        <v>23</v>
      </c>
      <c r="F88" s="374" t="s">
        <v>110</v>
      </c>
      <c r="G88" s="370" t="s">
        <v>376</v>
      </c>
      <c r="H88" s="370" t="s">
        <v>23</v>
      </c>
      <c r="I88" s="374" t="s">
        <v>277</v>
      </c>
      <c r="J88" s="25">
        <f>((17890*6)+(18060*6))</f>
        <v>215700</v>
      </c>
      <c r="K88" s="371">
        <v>0</v>
      </c>
      <c r="L88" s="371">
        <v>0</v>
      </c>
      <c r="M88" s="420"/>
    </row>
    <row r="89" spans="1:13" x14ac:dyDescent="0.25">
      <c r="A89" s="369">
        <v>50</v>
      </c>
      <c r="B89" s="380" t="s">
        <v>188</v>
      </c>
      <c r="C89" s="370"/>
      <c r="D89" s="370" t="s">
        <v>167</v>
      </c>
      <c r="E89" s="370" t="s">
        <v>24</v>
      </c>
      <c r="F89" s="374" t="s">
        <v>110</v>
      </c>
      <c r="G89" s="370" t="s">
        <v>380</v>
      </c>
      <c r="H89" s="370" t="s">
        <v>24</v>
      </c>
      <c r="I89" s="374" t="s">
        <v>270</v>
      </c>
      <c r="J89" s="372">
        <f>(4870+19100)*12/2</f>
        <v>143820</v>
      </c>
      <c r="K89" s="371">
        <v>0</v>
      </c>
      <c r="L89" s="371">
        <v>0</v>
      </c>
      <c r="M89" s="369"/>
    </row>
    <row r="90" spans="1:13" x14ac:dyDescent="0.25">
      <c r="A90" s="369">
        <v>51</v>
      </c>
      <c r="B90" s="378" t="s">
        <v>377</v>
      </c>
      <c r="C90" s="370" t="s">
        <v>378</v>
      </c>
      <c r="D90" s="370" t="s">
        <v>168</v>
      </c>
      <c r="E90" s="370" t="s">
        <v>25</v>
      </c>
      <c r="F90" s="374" t="s">
        <v>110</v>
      </c>
      <c r="G90" s="370" t="s">
        <v>379</v>
      </c>
      <c r="H90" s="370" t="s">
        <v>25</v>
      </c>
      <c r="I90" s="374" t="s">
        <v>272</v>
      </c>
      <c r="J90" s="25">
        <f>((13550*6)+(13760*6))</f>
        <v>163860</v>
      </c>
      <c r="K90" s="371">
        <v>0</v>
      </c>
      <c r="L90" s="371">
        <v>0</v>
      </c>
      <c r="M90" s="369"/>
    </row>
    <row r="91" spans="1:13" x14ac:dyDescent="0.25">
      <c r="A91" s="369">
        <v>52</v>
      </c>
      <c r="B91" s="370" t="s">
        <v>164</v>
      </c>
      <c r="C91" s="370" t="s">
        <v>171</v>
      </c>
      <c r="D91" s="370" t="s">
        <v>165</v>
      </c>
      <c r="E91" s="370" t="s">
        <v>13</v>
      </c>
      <c r="F91" s="369">
        <v>3</v>
      </c>
      <c r="G91" s="370" t="s">
        <v>381</v>
      </c>
      <c r="H91" s="370" t="s">
        <v>274</v>
      </c>
      <c r="I91" s="369" t="s">
        <v>272</v>
      </c>
      <c r="J91" s="25">
        <f>((13820*6)+(14030*6))</f>
        <v>167100</v>
      </c>
      <c r="K91" s="371">
        <v>0</v>
      </c>
      <c r="L91" s="371">
        <v>0</v>
      </c>
      <c r="M91" s="370"/>
    </row>
    <row r="92" spans="1:13" x14ac:dyDescent="0.25">
      <c r="A92" s="369"/>
      <c r="B92" s="421" t="s">
        <v>41</v>
      </c>
      <c r="C92" s="370"/>
      <c r="D92" s="370"/>
      <c r="E92" s="370"/>
      <c r="F92" s="369"/>
      <c r="G92" s="370"/>
      <c r="H92" s="370"/>
      <c r="I92" s="369"/>
      <c r="J92" s="371"/>
      <c r="K92" s="371"/>
      <c r="L92" s="371"/>
      <c r="M92" s="370"/>
    </row>
    <row r="93" spans="1:13" x14ac:dyDescent="0.25">
      <c r="A93" s="369">
        <v>53</v>
      </c>
      <c r="B93" s="370" t="s">
        <v>170</v>
      </c>
      <c r="C93" s="370" t="s">
        <v>171</v>
      </c>
      <c r="D93" s="369" t="s">
        <v>175</v>
      </c>
      <c r="E93" s="370" t="s">
        <v>40</v>
      </c>
      <c r="F93" s="369" t="s">
        <v>175</v>
      </c>
      <c r="G93" s="369" t="s">
        <v>175</v>
      </c>
      <c r="H93" s="370" t="s">
        <v>40</v>
      </c>
      <c r="I93" s="369" t="s">
        <v>175</v>
      </c>
      <c r="J93" s="56">
        <f>12630*12</f>
        <v>151560</v>
      </c>
      <c r="K93" s="371">
        <v>0</v>
      </c>
      <c r="L93" s="371">
        <v>0</v>
      </c>
      <c r="M93" s="370"/>
    </row>
    <row r="94" spans="1:13" x14ac:dyDescent="0.25">
      <c r="A94" s="369">
        <v>57</v>
      </c>
      <c r="B94" s="370" t="s">
        <v>169</v>
      </c>
      <c r="C94" s="370" t="s">
        <v>171</v>
      </c>
      <c r="D94" s="369" t="s">
        <v>175</v>
      </c>
      <c r="E94" s="370" t="s">
        <v>39</v>
      </c>
      <c r="F94" s="369" t="s">
        <v>175</v>
      </c>
      <c r="G94" s="369" t="s">
        <v>175</v>
      </c>
      <c r="H94" s="370" t="s">
        <v>39</v>
      </c>
      <c r="I94" s="369" t="s">
        <v>175</v>
      </c>
      <c r="J94" s="56">
        <f>10700*12</f>
        <v>128400</v>
      </c>
      <c r="K94" s="371">
        <v>0</v>
      </c>
      <c r="L94" s="371">
        <v>0</v>
      </c>
      <c r="M94" s="370"/>
    </row>
    <row r="95" spans="1:13" x14ac:dyDescent="0.25">
      <c r="A95" s="354">
        <v>55</v>
      </c>
      <c r="B95" s="424" t="s">
        <v>188</v>
      </c>
      <c r="C95" s="353"/>
      <c r="D95" s="354" t="s">
        <v>175</v>
      </c>
      <c r="E95" s="422" t="s">
        <v>172</v>
      </c>
      <c r="F95" s="354" t="s">
        <v>175</v>
      </c>
      <c r="G95" s="354" t="s">
        <v>175</v>
      </c>
      <c r="H95" s="353" t="s">
        <v>280</v>
      </c>
      <c r="I95" s="405">
        <v>0</v>
      </c>
      <c r="J95" s="406">
        <f>11500*12</f>
        <v>138000</v>
      </c>
      <c r="K95" s="406">
        <v>0</v>
      </c>
      <c r="L95" s="406">
        <v>0</v>
      </c>
      <c r="M95" s="354"/>
    </row>
    <row r="96" spans="1:13" x14ac:dyDescent="0.25">
      <c r="A96" s="400"/>
      <c r="B96" s="407"/>
      <c r="C96" s="383"/>
      <c r="D96" s="400"/>
      <c r="E96" s="400"/>
      <c r="F96" s="400"/>
      <c r="G96" s="400"/>
      <c r="H96" s="383"/>
      <c r="I96" s="408"/>
      <c r="J96" s="397"/>
      <c r="K96" s="397"/>
      <c r="L96" s="397"/>
      <c r="M96" s="400"/>
    </row>
    <row r="97" spans="1:13" x14ac:dyDescent="0.25">
      <c r="A97" s="400"/>
      <c r="B97" s="407"/>
      <c r="C97" s="383"/>
      <c r="D97" s="400"/>
      <c r="E97" s="400"/>
      <c r="F97" s="400"/>
      <c r="G97" s="400"/>
      <c r="H97" s="383"/>
      <c r="I97" s="408"/>
      <c r="J97" s="397"/>
      <c r="K97" s="397"/>
      <c r="L97" s="397"/>
      <c r="M97" s="409"/>
    </row>
    <row r="98" spans="1:13" x14ac:dyDescent="0.25">
      <c r="A98" s="400"/>
      <c r="B98" s="407"/>
      <c r="C98" s="383"/>
      <c r="D98" s="400"/>
      <c r="E98" s="400"/>
      <c r="F98" s="400"/>
      <c r="G98" s="400"/>
      <c r="H98" s="383"/>
      <c r="I98" s="408"/>
      <c r="J98" s="397"/>
      <c r="K98" s="397"/>
      <c r="L98" s="397"/>
      <c r="M98" s="400"/>
    </row>
    <row r="99" spans="1:13" x14ac:dyDescent="0.25">
      <c r="A99" s="400"/>
      <c r="B99" s="407"/>
      <c r="C99" s="383"/>
      <c r="D99" s="400"/>
      <c r="E99" s="400"/>
      <c r="F99" s="400"/>
      <c r="G99" s="400"/>
      <c r="H99" s="383"/>
      <c r="I99" s="408"/>
      <c r="J99" s="397"/>
      <c r="K99" s="397"/>
      <c r="L99" s="397"/>
      <c r="M99" s="400"/>
    </row>
    <row r="100" spans="1:13" x14ac:dyDescent="0.25">
      <c r="A100" s="445" t="s">
        <v>247</v>
      </c>
      <c r="B100" s="445"/>
      <c r="C100" s="445"/>
      <c r="D100" s="445"/>
      <c r="E100" s="445"/>
      <c r="F100" s="445"/>
      <c r="G100" s="445"/>
      <c r="H100" s="445"/>
      <c r="I100" s="445"/>
      <c r="J100" s="445"/>
      <c r="K100" s="445"/>
      <c r="L100" s="445"/>
      <c r="M100" s="445"/>
    </row>
    <row r="101" spans="1:13" x14ac:dyDescent="0.25">
      <c r="A101" s="401"/>
      <c r="B101" s="402"/>
      <c r="C101" s="402"/>
      <c r="D101" s="402"/>
      <c r="E101" s="402"/>
      <c r="F101" s="402"/>
      <c r="G101" s="402"/>
      <c r="H101" s="402"/>
      <c r="I101" s="402"/>
      <c r="J101" s="402"/>
      <c r="K101" s="402"/>
      <c r="L101" s="402"/>
      <c r="M101" s="402"/>
    </row>
    <row r="102" spans="1:13" x14ac:dyDescent="0.25">
      <c r="A102" s="436" t="s">
        <v>5</v>
      </c>
      <c r="B102" s="436" t="s">
        <v>73</v>
      </c>
      <c r="C102" s="349" t="s">
        <v>74</v>
      </c>
      <c r="D102" s="439" t="s">
        <v>77</v>
      </c>
      <c r="E102" s="440"/>
      <c r="F102" s="440"/>
      <c r="G102" s="439" t="s">
        <v>78</v>
      </c>
      <c r="H102" s="440"/>
      <c r="I102" s="441"/>
      <c r="J102" s="442" t="s">
        <v>79</v>
      </c>
      <c r="K102" s="443"/>
      <c r="L102" s="444"/>
      <c r="M102" s="350"/>
    </row>
    <row r="103" spans="1:13" x14ac:dyDescent="0.25">
      <c r="A103" s="437"/>
      <c r="B103" s="437"/>
      <c r="C103" s="351" t="s">
        <v>75</v>
      </c>
      <c r="D103" s="436" t="s">
        <v>76</v>
      </c>
      <c r="E103" s="436" t="s">
        <v>9</v>
      </c>
      <c r="F103" s="436" t="s">
        <v>7</v>
      </c>
      <c r="G103" s="436" t="s">
        <v>76</v>
      </c>
      <c r="H103" s="436" t="s">
        <v>9</v>
      </c>
      <c r="I103" s="436" t="s">
        <v>7</v>
      </c>
      <c r="J103" s="436" t="s">
        <v>79</v>
      </c>
      <c r="K103" s="436" t="s">
        <v>80</v>
      </c>
      <c r="L103" s="349" t="s">
        <v>81</v>
      </c>
      <c r="M103" s="352" t="s">
        <v>59</v>
      </c>
    </row>
    <row r="104" spans="1:13" x14ac:dyDescent="0.25">
      <c r="A104" s="438"/>
      <c r="B104" s="438"/>
      <c r="C104" s="353"/>
      <c r="D104" s="438"/>
      <c r="E104" s="438"/>
      <c r="F104" s="438"/>
      <c r="G104" s="438"/>
      <c r="H104" s="438"/>
      <c r="I104" s="438"/>
      <c r="J104" s="438"/>
      <c r="K104" s="438"/>
      <c r="L104" s="354" t="s">
        <v>82</v>
      </c>
      <c r="M104" s="355"/>
    </row>
    <row r="105" spans="1:13" x14ac:dyDescent="0.25">
      <c r="A105" s="351"/>
      <c r="B105" s="404" t="s">
        <v>38</v>
      </c>
      <c r="C105" s="358"/>
      <c r="D105" s="358"/>
      <c r="E105" s="358"/>
      <c r="F105" s="358"/>
      <c r="G105" s="358"/>
      <c r="H105" s="358"/>
      <c r="I105" s="351"/>
      <c r="J105" s="410">
        <v>0</v>
      </c>
      <c r="K105" s="410">
        <v>0</v>
      </c>
      <c r="L105" s="410">
        <v>0</v>
      </c>
      <c r="M105" s="351"/>
    </row>
    <row r="106" spans="1:13" x14ac:dyDescent="0.25">
      <c r="A106" s="387">
        <v>56</v>
      </c>
      <c r="B106" s="377" t="s">
        <v>173</v>
      </c>
      <c r="C106" s="387" t="s">
        <v>175</v>
      </c>
      <c r="D106" s="387" t="s">
        <v>175</v>
      </c>
      <c r="E106" s="377" t="s">
        <v>37</v>
      </c>
      <c r="F106" s="387" t="s">
        <v>175</v>
      </c>
      <c r="G106" s="387" t="s">
        <v>175</v>
      </c>
      <c r="H106" s="377" t="s">
        <v>37</v>
      </c>
      <c r="I106" s="387" t="s">
        <v>175</v>
      </c>
      <c r="J106" s="56">
        <f>10600*12</f>
        <v>127200</v>
      </c>
      <c r="K106" s="411">
        <v>0</v>
      </c>
      <c r="L106" s="411">
        <v>0</v>
      </c>
      <c r="M106" s="387"/>
    </row>
    <row r="107" spans="1:13" x14ac:dyDescent="0.25">
      <c r="A107" s="369">
        <v>57</v>
      </c>
      <c r="B107" s="370" t="s">
        <v>382</v>
      </c>
      <c r="C107" s="369" t="s">
        <v>175</v>
      </c>
      <c r="D107" s="369" t="s">
        <v>175</v>
      </c>
      <c r="E107" s="370" t="s">
        <v>37</v>
      </c>
      <c r="F107" s="369" t="s">
        <v>175</v>
      </c>
      <c r="G107" s="369" t="s">
        <v>175</v>
      </c>
      <c r="H107" s="370" t="s">
        <v>37</v>
      </c>
      <c r="I107" s="369" t="s">
        <v>175</v>
      </c>
      <c r="J107" s="56">
        <f>9400*12</f>
        <v>112800</v>
      </c>
      <c r="K107" s="412">
        <v>0</v>
      </c>
      <c r="L107" s="412">
        <v>0</v>
      </c>
      <c r="M107" s="369"/>
    </row>
    <row r="108" spans="1:13" x14ac:dyDescent="0.25">
      <c r="A108" s="351"/>
      <c r="B108" s="404" t="s">
        <v>36</v>
      </c>
      <c r="C108" s="351"/>
      <c r="D108" s="351"/>
      <c r="E108" s="351"/>
      <c r="F108" s="351"/>
      <c r="G108" s="351"/>
      <c r="H108" s="358"/>
      <c r="I108" s="351"/>
      <c r="J108" s="359"/>
      <c r="K108" s="410"/>
      <c r="L108" s="410"/>
      <c r="M108" s="351"/>
    </row>
    <row r="109" spans="1:13" x14ac:dyDescent="0.25">
      <c r="A109" s="369">
        <v>58</v>
      </c>
      <c r="B109" s="370" t="s">
        <v>176</v>
      </c>
      <c r="C109" s="369" t="s">
        <v>195</v>
      </c>
      <c r="D109" s="369" t="s">
        <v>175</v>
      </c>
      <c r="E109" s="369" t="s">
        <v>175</v>
      </c>
      <c r="F109" s="369" t="s">
        <v>175</v>
      </c>
      <c r="G109" s="369" t="s">
        <v>175</v>
      </c>
      <c r="H109" s="370" t="s">
        <v>177</v>
      </c>
      <c r="I109" s="369" t="s">
        <v>175</v>
      </c>
      <c r="J109" s="371">
        <f>9000*12</f>
        <v>108000</v>
      </c>
      <c r="K109" s="412">
        <v>0</v>
      </c>
      <c r="L109" s="412">
        <v>0</v>
      </c>
      <c r="M109" s="369"/>
    </row>
    <row r="110" spans="1:13" x14ac:dyDescent="0.25">
      <c r="A110" s="369">
        <v>59</v>
      </c>
      <c r="B110" s="370" t="s">
        <v>178</v>
      </c>
      <c r="C110" s="369" t="s">
        <v>195</v>
      </c>
      <c r="D110" s="369" t="s">
        <v>175</v>
      </c>
      <c r="E110" s="369" t="s">
        <v>175</v>
      </c>
      <c r="F110" s="369" t="s">
        <v>175</v>
      </c>
      <c r="G110" s="369" t="s">
        <v>175</v>
      </c>
      <c r="H110" s="370" t="s">
        <v>177</v>
      </c>
      <c r="I110" s="369" t="s">
        <v>175</v>
      </c>
      <c r="J110" s="371">
        <f>9000*12</f>
        <v>108000</v>
      </c>
      <c r="K110" s="412">
        <v>0</v>
      </c>
      <c r="L110" s="412">
        <v>0</v>
      </c>
      <c r="M110" s="369"/>
    </row>
    <row r="111" spans="1:13" x14ac:dyDescent="0.25">
      <c r="A111" s="369">
        <v>60</v>
      </c>
      <c r="B111" s="380" t="s">
        <v>188</v>
      </c>
      <c r="C111" s="369" t="s">
        <v>175</v>
      </c>
      <c r="D111" s="369" t="s">
        <v>175</v>
      </c>
      <c r="E111" s="369" t="s">
        <v>175</v>
      </c>
      <c r="F111" s="369" t="s">
        <v>175</v>
      </c>
      <c r="G111" s="369" t="s">
        <v>175</v>
      </c>
      <c r="H111" s="370" t="s">
        <v>177</v>
      </c>
      <c r="I111" s="369" t="s">
        <v>11</v>
      </c>
      <c r="J111" s="371">
        <f t="shared" ref="J111:J112" si="0">9000*12</f>
        <v>108000</v>
      </c>
      <c r="K111" s="412">
        <v>0</v>
      </c>
      <c r="L111" s="412">
        <v>0</v>
      </c>
      <c r="M111" s="369"/>
    </row>
    <row r="112" spans="1:13" x14ac:dyDescent="0.25">
      <c r="A112" s="376">
        <v>61</v>
      </c>
      <c r="B112" s="423" t="s">
        <v>188</v>
      </c>
      <c r="C112" s="376" t="s">
        <v>175</v>
      </c>
      <c r="D112" s="376" t="s">
        <v>175</v>
      </c>
      <c r="E112" s="376" t="s">
        <v>175</v>
      </c>
      <c r="F112" s="376" t="s">
        <v>175</v>
      </c>
      <c r="G112" s="376" t="s">
        <v>175</v>
      </c>
      <c r="H112" s="375" t="s">
        <v>37</v>
      </c>
      <c r="I112" s="376" t="s">
        <v>175</v>
      </c>
      <c r="J112" s="395">
        <f t="shared" si="0"/>
        <v>108000</v>
      </c>
      <c r="K112" s="413">
        <v>0</v>
      </c>
      <c r="L112" s="413">
        <v>0</v>
      </c>
      <c r="M112" s="376"/>
    </row>
    <row r="131" spans="13:13" x14ac:dyDescent="0.25">
      <c r="M131" s="238"/>
    </row>
  </sheetData>
  <mergeCells count="58">
    <mergeCell ref="D5:D6"/>
    <mergeCell ref="E5:E6"/>
    <mergeCell ref="F5:F6"/>
    <mergeCell ref="G5:G6"/>
    <mergeCell ref="H5:H6"/>
    <mergeCell ref="K37:K38"/>
    <mergeCell ref="I5:I6"/>
    <mergeCell ref="J5:J6"/>
    <mergeCell ref="K5:K6"/>
    <mergeCell ref="A36:A38"/>
    <mergeCell ref="B36:B38"/>
    <mergeCell ref="D36:F36"/>
    <mergeCell ref="G36:I36"/>
    <mergeCell ref="J36:L36"/>
    <mergeCell ref="D37:D38"/>
    <mergeCell ref="E37:E38"/>
    <mergeCell ref="A4:A6"/>
    <mergeCell ref="B4:B6"/>
    <mergeCell ref="D4:F4"/>
    <mergeCell ref="G4:I4"/>
    <mergeCell ref="J4:L4"/>
    <mergeCell ref="F37:F38"/>
    <mergeCell ref="G37:G38"/>
    <mergeCell ref="H37:H38"/>
    <mergeCell ref="I37:I38"/>
    <mergeCell ref="J37:J38"/>
    <mergeCell ref="A66:M66"/>
    <mergeCell ref="A69:A71"/>
    <mergeCell ref="B69:B71"/>
    <mergeCell ref="D69:F69"/>
    <mergeCell ref="G69:I69"/>
    <mergeCell ref="J69:L69"/>
    <mergeCell ref="D70:D71"/>
    <mergeCell ref="E70:E71"/>
    <mergeCell ref="F70:F71"/>
    <mergeCell ref="G70:G71"/>
    <mergeCell ref="B102:B104"/>
    <mergeCell ref="D102:F102"/>
    <mergeCell ref="G102:I102"/>
    <mergeCell ref="J102:L102"/>
    <mergeCell ref="J103:J104"/>
    <mergeCell ref="K103:K104"/>
    <mergeCell ref="A1:M1"/>
    <mergeCell ref="A2:M2"/>
    <mergeCell ref="A34:M34"/>
    <mergeCell ref="A67:M67"/>
    <mergeCell ref="D103:D104"/>
    <mergeCell ref="E103:E104"/>
    <mergeCell ref="F103:F104"/>
    <mergeCell ref="G103:G104"/>
    <mergeCell ref="H103:H104"/>
    <mergeCell ref="I103:I104"/>
    <mergeCell ref="H70:H71"/>
    <mergeCell ref="I70:I71"/>
    <mergeCell ref="J70:J71"/>
    <mergeCell ref="K70:K71"/>
    <mergeCell ref="A100:M100"/>
    <mergeCell ref="A102:A104"/>
  </mergeCells>
  <pageMargins left="0.39370078740157483" right="0.11811023622047245" top="0.74803149606299213" bottom="0.55118110236220474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101"/>
  <sheetViews>
    <sheetView topLeftCell="A10" zoomScaleNormal="100" workbookViewId="0">
      <selection activeCell="L58" sqref="L58"/>
    </sheetView>
  </sheetViews>
  <sheetFormatPr defaultRowHeight="15" x14ac:dyDescent="0.25"/>
  <cols>
    <col min="1" max="1" width="3.75" style="1" customWidth="1"/>
    <col min="2" max="2" width="29.375" style="1" customWidth="1"/>
    <col min="3" max="3" width="5.125" style="1" customWidth="1"/>
    <col min="4" max="6" width="5.875" style="1" customWidth="1"/>
    <col min="7" max="9" width="5.375" style="1" customWidth="1"/>
    <col min="10" max="10" width="14.5" style="196" customWidth="1"/>
  </cols>
  <sheetData>
    <row r="1" spans="1:12" ht="20.25" x14ac:dyDescent="0.3">
      <c r="A1" s="158"/>
      <c r="B1" s="158"/>
      <c r="C1" s="158"/>
      <c r="D1" s="158"/>
      <c r="E1" s="158"/>
      <c r="F1" s="158"/>
      <c r="G1" s="158"/>
      <c r="H1" s="158"/>
      <c r="I1" s="158"/>
      <c r="J1" s="194" t="s">
        <v>258</v>
      </c>
      <c r="K1" s="159"/>
      <c r="L1" s="159"/>
    </row>
    <row r="2" spans="1:12" ht="20.25" x14ac:dyDescent="0.3">
      <c r="A2" s="158" t="s">
        <v>200</v>
      </c>
      <c r="B2" s="158"/>
      <c r="C2" s="158"/>
      <c r="D2" s="158"/>
      <c r="E2" s="158"/>
      <c r="F2" s="158"/>
      <c r="G2" s="158"/>
      <c r="H2" s="158"/>
      <c r="I2" s="158"/>
      <c r="J2" s="194"/>
      <c r="K2" s="159"/>
      <c r="L2" s="159"/>
    </row>
    <row r="3" spans="1:12" ht="20.25" x14ac:dyDescent="0.3">
      <c r="A3" s="158"/>
      <c r="B3" s="160" t="s">
        <v>253</v>
      </c>
      <c r="C3" s="160"/>
      <c r="D3" s="160"/>
      <c r="E3" s="160"/>
      <c r="F3" s="160"/>
      <c r="G3" s="160"/>
      <c r="H3" s="160"/>
      <c r="I3" s="158"/>
      <c r="J3" s="194"/>
      <c r="K3" s="159"/>
      <c r="L3" s="159"/>
    </row>
    <row r="4" spans="1:12" ht="20.25" x14ac:dyDescent="0.3">
      <c r="A4" s="158"/>
      <c r="B4" s="160" t="s">
        <v>202</v>
      </c>
      <c r="C4" s="160"/>
      <c r="D4" s="160"/>
      <c r="E4" s="160"/>
      <c r="F4" s="160"/>
      <c r="G4" s="160"/>
      <c r="H4" s="160"/>
      <c r="I4" s="158"/>
      <c r="J4" s="194"/>
      <c r="K4" s="159"/>
      <c r="L4" s="159"/>
    </row>
    <row r="5" spans="1:12" ht="20.25" x14ac:dyDescent="0.3">
      <c r="A5" s="158"/>
      <c r="B5" s="160" t="s">
        <v>203</v>
      </c>
      <c r="C5" s="160"/>
      <c r="D5" s="160"/>
      <c r="E5" s="160"/>
      <c r="F5" s="160"/>
      <c r="G5" s="160"/>
      <c r="H5" s="160"/>
      <c r="I5" s="158"/>
      <c r="J5" s="194"/>
      <c r="K5" s="159"/>
      <c r="L5" s="159"/>
    </row>
    <row r="6" spans="1:12" ht="20.25" x14ac:dyDescent="0.3">
      <c r="A6" s="158"/>
      <c r="B6" s="160" t="s">
        <v>204</v>
      </c>
      <c r="C6" s="160"/>
      <c r="D6" s="160"/>
      <c r="E6" s="160"/>
      <c r="F6" s="160"/>
      <c r="G6" s="160"/>
      <c r="H6" s="160"/>
      <c r="I6" s="158"/>
      <c r="J6" s="194"/>
      <c r="K6" s="159"/>
      <c r="L6" s="159"/>
    </row>
    <row r="7" spans="1:12" ht="20.25" x14ac:dyDescent="0.3">
      <c r="A7" s="158" t="s">
        <v>0</v>
      </c>
      <c r="B7" s="160" t="s">
        <v>205</v>
      </c>
      <c r="C7" s="160"/>
      <c r="D7" s="160"/>
      <c r="E7" s="160"/>
      <c r="F7" s="160"/>
      <c r="G7" s="160"/>
      <c r="H7" s="160"/>
      <c r="I7" s="158"/>
      <c r="J7" s="194"/>
      <c r="K7" s="159"/>
      <c r="L7" s="159"/>
    </row>
    <row r="8" spans="1:12" ht="20.25" x14ac:dyDescent="0.3">
      <c r="A8" s="158"/>
      <c r="B8" s="158"/>
      <c r="C8" s="158"/>
      <c r="D8" s="158"/>
      <c r="E8" s="158"/>
      <c r="F8" s="158"/>
      <c r="G8" s="158"/>
      <c r="H8" s="158"/>
      <c r="I8" s="158"/>
      <c r="J8" s="194"/>
      <c r="K8" s="159"/>
      <c r="L8" s="159"/>
    </row>
    <row r="9" spans="1:12" s="162" customFormat="1" ht="18.75" x14ac:dyDescent="0.3">
      <c r="A9" s="449" t="s">
        <v>5</v>
      </c>
      <c r="B9" s="449" t="s">
        <v>6</v>
      </c>
      <c r="C9" s="231" t="s">
        <v>218</v>
      </c>
      <c r="D9" s="452" t="s">
        <v>61</v>
      </c>
      <c r="E9" s="453"/>
      <c r="F9" s="454"/>
      <c r="G9" s="455" t="s">
        <v>57</v>
      </c>
      <c r="H9" s="456"/>
      <c r="I9" s="457"/>
      <c r="J9" s="458" t="s">
        <v>201</v>
      </c>
    </row>
    <row r="10" spans="1:12" s="162" customFormat="1" ht="18.75" x14ac:dyDescent="0.3">
      <c r="A10" s="450"/>
      <c r="B10" s="450"/>
      <c r="C10" s="232" t="s">
        <v>219</v>
      </c>
      <c r="D10" s="461" t="s">
        <v>62</v>
      </c>
      <c r="E10" s="462"/>
      <c r="F10" s="463"/>
      <c r="G10" s="461" t="s">
        <v>58</v>
      </c>
      <c r="H10" s="462"/>
      <c r="I10" s="463"/>
      <c r="J10" s="459"/>
    </row>
    <row r="11" spans="1:12" s="162" customFormat="1" ht="18.75" x14ac:dyDescent="0.3">
      <c r="A11" s="450"/>
      <c r="B11" s="450"/>
      <c r="C11" s="233" t="s">
        <v>237</v>
      </c>
      <c r="D11" s="161">
        <v>2558</v>
      </c>
      <c r="E11" s="161">
        <v>2559</v>
      </c>
      <c r="F11" s="161">
        <v>2560</v>
      </c>
      <c r="G11" s="161">
        <v>2558</v>
      </c>
      <c r="H11" s="161">
        <v>2559</v>
      </c>
      <c r="I11" s="161">
        <v>2560</v>
      </c>
      <c r="J11" s="460"/>
    </row>
    <row r="12" spans="1:12" s="162" customFormat="1" ht="18.75" x14ac:dyDescent="0.3">
      <c r="A12" s="161">
        <v>1</v>
      </c>
      <c r="B12" s="165" t="s">
        <v>206</v>
      </c>
      <c r="C12" s="161">
        <v>1</v>
      </c>
      <c r="D12" s="166">
        <v>1</v>
      </c>
      <c r="E12" s="166">
        <v>1</v>
      </c>
      <c r="F12" s="166">
        <v>1</v>
      </c>
      <c r="G12" s="167">
        <v>0</v>
      </c>
      <c r="H12" s="167">
        <v>0</v>
      </c>
      <c r="I12" s="167">
        <v>0</v>
      </c>
      <c r="J12" s="213"/>
    </row>
    <row r="13" spans="1:12" s="162" customFormat="1" ht="18.75" x14ac:dyDescent="0.3">
      <c r="A13" s="183">
        <v>2</v>
      </c>
      <c r="B13" s="184" t="s">
        <v>207</v>
      </c>
      <c r="C13" s="183">
        <v>1</v>
      </c>
      <c r="D13" s="220">
        <v>1</v>
      </c>
      <c r="E13" s="220">
        <v>1</v>
      </c>
      <c r="F13" s="220">
        <v>1</v>
      </c>
      <c r="G13" s="185">
        <v>0</v>
      </c>
      <c r="H13" s="185">
        <v>0</v>
      </c>
      <c r="I13" s="185">
        <v>0</v>
      </c>
      <c r="J13" s="223"/>
    </row>
    <row r="14" spans="1:12" s="162" customFormat="1" ht="18.75" x14ac:dyDescent="0.3">
      <c r="A14" s="168"/>
      <c r="B14" s="222" t="s">
        <v>69</v>
      </c>
      <c r="C14" s="168"/>
      <c r="D14" s="170"/>
      <c r="E14" s="170"/>
      <c r="F14" s="170"/>
      <c r="G14" s="170"/>
      <c r="H14" s="170"/>
      <c r="I14" s="170"/>
      <c r="J14" s="213"/>
    </row>
    <row r="15" spans="1:12" s="162" customFormat="1" ht="18.75" x14ac:dyDescent="0.3">
      <c r="A15" s="179">
        <v>3</v>
      </c>
      <c r="B15" s="205" t="s">
        <v>208</v>
      </c>
      <c r="C15" s="176">
        <v>1</v>
      </c>
      <c r="D15" s="176">
        <v>1</v>
      </c>
      <c r="E15" s="176">
        <v>1</v>
      </c>
      <c r="F15" s="176">
        <v>1</v>
      </c>
      <c r="G15" s="177">
        <v>0</v>
      </c>
      <c r="H15" s="177">
        <v>0</v>
      </c>
      <c r="I15" s="177">
        <v>0</v>
      </c>
      <c r="J15" s="216"/>
    </row>
    <row r="16" spans="1:12" s="162" customFormat="1" ht="18.75" x14ac:dyDescent="0.3">
      <c r="A16" s="172">
        <v>4</v>
      </c>
      <c r="B16" s="174" t="s">
        <v>209</v>
      </c>
      <c r="C16" s="172">
        <v>1</v>
      </c>
      <c r="D16" s="173">
        <v>1</v>
      </c>
      <c r="E16" s="173">
        <v>1</v>
      </c>
      <c r="F16" s="173">
        <v>1</v>
      </c>
      <c r="G16" s="175">
        <v>0</v>
      </c>
      <c r="H16" s="175">
        <v>0</v>
      </c>
      <c r="I16" s="175">
        <v>0</v>
      </c>
      <c r="J16" s="217"/>
    </row>
    <row r="17" spans="1:10" s="162" customFormat="1" ht="30" customHeight="1" x14ac:dyDescent="0.3">
      <c r="A17" s="172">
        <v>5</v>
      </c>
      <c r="B17" s="174" t="s">
        <v>255</v>
      </c>
      <c r="C17" s="172">
        <v>1</v>
      </c>
      <c r="D17" s="173">
        <v>1</v>
      </c>
      <c r="E17" s="173">
        <v>1</v>
      </c>
      <c r="F17" s="173">
        <v>1</v>
      </c>
      <c r="G17" s="175">
        <v>0</v>
      </c>
      <c r="H17" s="175">
        <v>0</v>
      </c>
      <c r="I17" s="175">
        <v>0</v>
      </c>
      <c r="J17" s="217"/>
    </row>
    <row r="18" spans="1:10" s="162" customFormat="1" ht="18.75" x14ac:dyDescent="0.3">
      <c r="A18" s="172">
        <v>6</v>
      </c>
      <c r="B18" s="174" t="s">
        <v>210</v>
      </c>
      <c r="C18" s="172">
        <v>1</v>
      </c>
      <c r="D18" s="173">
        <v>1</v>
      </c>
      <c r="E18" s="173">
        <v>1</v>
      </c>
      <c r="F18" s="173">
        <v>1</v>
      </c>
      <c r="G18" s="175">
        <v>0</v>
      </c>
      <c r="H18" s="175">
        <v>0</v>
      </c>
      <c r="I18" s="175">
        <v>0</v>
      </c>
      <c r="J18" s="217"/>
    </row>
    <row r="19" spans="1:10" s="162" customFormat="1" ht="18.75" x14ac:dyDescent="0.3">
      <c r="A19" s="172">
        <v>7</v>
      </c>
      <c r="B19" s="174" t="s">
        <v>211</v>
      </c>
      <c r="C19" s="172">
        <v>1</v>
      </c>
      <c r="D19" s="173">
        <v>1</v>
      </c>
      <c r="E19" s="173">
        <v>1</v>
      </c>
      <c r="F19" s="173">
        <v>1</v>
      </c>
      <c r="G19" s="175">
        <v>0</v>
      </c>
      <c r="H19" s="175">
        <v>0</v>
      </c>
      <c r="I19" s="175">
        <v>0</v>
      </c>
      <c r="J19" s="217"/>
    </row>
    <row r="20" spans="1:10" s="162" customFormat="1" ht="18.75" x14ac:dyDescent="0.3">
      <c r="A20" s="172">
        <v>8</v>
      </c>
      <c r="B20" s="174" t="s">
        <v>212</v>
      </c>
      <c r="C20" s="198">
        <v>1</v>
      </c>
      <c r="D20" s="173">
        <v>1</v>
      </c>
      <c r="E20" s="173">
        <v>1</v>
      </c>
      <c r="F20" s="173">
        <v>1</v>
      </c>
      <c r="G20" s="175">
        <v>0</v>
      </c>
      <c r="H20" s="175">
        <v>0</v>
      </c>
      <c r="I20" s="175">
        <v>0</v>
      </c>
      <c r="J20" s="217" t="s">
        <v>67</v>
      </c>
    </row>
    <row r="21" spans="1:10" s="162" customFormat="1" ht="18.75" x14ac:dyDescent="0.3">
      <c r="A21" s="172">
        <v>9</v>
      </c>
      <c r="B21" s="174" t="s">
        <v>213</v>
      </c>
      <c r="C21" s="175" t="s">
        <v>175</v>
      </c>
      <c r="D21" s="173">
        <v>1</v>
      </c>
      <c r="E21" s="173">
        <v>1</v>
      </c>
      <c r="F21" s="173">
        <v>1</v>
      </c>
      <c r="G21" s="175" t="s">
        <v>197</v>
      </c>
      <c r="H21" s="175">
        <v>0</v>
      </c>
      <c r="I21" s="175">
        <v>0</v>
      </c>
      <c r="J21" s="217" t="s">
        <v>174</v>
      </c>
    </row>
    <row r="22" spans="1:10" s="162" customFormat="1" ht="18.75" x14ac:dyDescent="0.3">
      <c r="A22" s="172">
        <v>10</v>
      </c>
      <c r="B22" s="174" t="s">
        <v>214</v>
      </c>
      <c r="C22" s="175" t="s">
        <v>175</v>
      </c>
      <c r="D22" s="173">
        <v>1</v>
      </c>
      <c r="E22" s="173">
        <v>1</v>
      </c>
      <c r="F22" s="173">
        <v>1</v>
      </c>
      <c r="G22" s="175" t="s">
        <v>197</v>
      </c>
      <c r="H22" s="175">
        <v>0</v>
      </c>
      <c r="I22" s="175">
        <v>0</v>
      </c>
      <c r="J22" s="217" t="s">
        <v>174</v>
      </c>
    </row>
    <row r="23" spans="1:10" s="162" customFormat="1" ht="18.75" x14ac:dyDescent="0.3">
      <c r="A23" s="172">
        <v>11</v>
      </c>
      <c r="B23" s="174" t="s">
        <v>215</v>
      </c>
      <c r="C23" s="197">
        <v>1</v>
      </c>
      <c r="D23" s="173">
        <v>1</v>
      </c>
      <c r="E23" s="173">
        <v>1</v>
      </c>
      <c r="F23" s="173">
        <v>1</v>
      </c>
      <c r="G23" s="175">
        <v>0</v>
      </c>
      <c r="H23" s="175">
        <v>0</v>
      </c>
      <c r="I23" s="175">
        <v>0</v>
      </c>
      <c r="J23" s="217" t="s">
        <v>67</v>
      </c>
    </row>
    <row r="24" spans="1:10" s="162" customFormat="1" ht="18.75" x14ac:dyDescent="0.3">
      <c r="A24" s="172">
        <v>12</v>
      </c>
      <c r="B24" s="295" t="s">
        <v>217</v>
      </c>
      <c r="C24" s="172" t="s">
        <v>175</v>
      </c>
      <c r="D24" s="173">
        <v>1</v>
      </c>
      <c r="E24" s="173">
        <v>1</v>
      </c>
      <c r="F24" s="173">
        <v>1</v>
      </c>
      <c r="G24" s="175" t="s">
        <v>197</v>
      </c>
      <c r="H24" s="175">
        <v>0</v>
      </c>
      <c r="I24" s="175">
        <v>0</v>
      </c>
      <c r="J24" s="217" t="s">
        <v>174</v>
      </c>
    </row>
    <row r="25" spans="1:10" s="162" customFormat="1" ht="18.75" x14ac:dyDescent="0.3">
      <c r="A25" s="172">
        <v>13</v>
      </c>
      <c r="B25" s="295" t="s">
        <v>221</v>
      </c>
      <c r="C25" s="197">
        <v>1</v>
      </c>
      <c r="D25" s="173" t="s">
        <v>175</v>
      </c>
      <c r="E25" s="173" t="s">
        <v>175</v>
      </c>
      <c r="F25" s="173" t="s">
        <v>175</v>
      </c>
      <c r="G25" s="175" t="s">
        <v>198</v>
      </c>
      <c r="H25" s="175">
        <v>0</v>
      </c>
      <c r="I25" s="175">
        <v>0</v>
      </c>
      <c r="J25" s="217" t="s">
        <v>216</v>
      </c>
    </row>
    <row r="26" spans="1:10" s="162" customFormat="1" ht="18.75" x14ac:dyDescent="0.3">
      <c r="A26" s="172">
        <v>14</v>
      </c>
      <c r="B26" s="174" t="s">
        <v>222</v>
      </c>
      <c r="C26" s="172">
        <v>1</v>
      </c>
      <c r="D26" s="173">
        <v>1</v>
      </c>
      <c r="E26" s="173">
        <v>1</v>
      </c>
      <c r="F26" s="173">
        <v>1</v>
      </c>
      <c r="G26" s="175">
        <v>0</v>
      </c>
      <c r="H26" s="175">
        <v>0</v>
      </c>
      <c r="I26" s="175">
        <v>0</v>
      </c>
      <c r="J26" s="217"/>
    </row>
    <row r="27" spans="1:10" s="162" customFormat="1" ht="18.75" x14ac:dyDescent="0.3">
      <c r="A27" s="172">
        <v>15</v>
      </c>
      <c r="B27" s="174" t="s">
        <v>223</v>
      </c>
      <c r="C27" s="172">
        <v>1</v>
      </c>
      <c r="D27" s="173">
        <v>1</v>
      </c>
      <c r="E27" s="173">
        <v>1</v>
      </c>
      <c r="F27" s="173">
        <v>1</v>
      </c>
      <c r="G27" s="175">
        <v>0</v>
      </c>
      <c r="H27" s="175">
        <v>0</v>
      </c>
      <c r="I27" s="175">
        <v>0</v>
      </c>
      <c r="J27" s="217"/>
    </row>
    <row r="28" spans="1:10" s="162" customFormat="1" ht="18.75" x14ac:dyDescent="0.3">
      <c r="A28" s="172">
        <v>16</v>
      </c>
      <c r="B28" s="174" t="s">
        <v>223</v>
      </c>
      <c r="C28" s="172">
        <v>1</v>
      </c>
      <c r="D28" s="173">
        <v>1</v>
      </c>
      <c r="E28" s="173">
        <v>1</v>
      </c>
      <c r="F28" s="173">
        <v>1</v>
      </c>
      <c r="G28" s="175">
        <v>0</v>
      </c>
      <c r="H28" s="175">
        <v>0</v>
      </c>
      <c r="I28" s="175">
        <v>0</v>
      </c>
      <c r="J28" s="217"/>
    </row>
    <row r="29" spans="1:10" s="162" customFormat="1" ht="18.75" x14ac:dyDescent="0.3">
      <c r="A29" s="172">
        <v>17</v>
      </c>
      <c r="B29" s="174" t="s">
        <v>223</v>
      </c>
      <c r="C29" s="172">
        <v>1</v>
      </c>
      <c r="D29" s="173">
        <v>1</v>
      </c>
      <c r="E29" s="173">
        <v>1</v>
      </c>
      <c r="F29" s="173">
        <v>1</v>
      </c>
      <c r="G29" s="175">
        <v>0</v>
      </c>
      <c r="H29" s="175">
        <v>0</v>
      </c>
      <c r="I29" s="175">
        <v>0</v>
      </c>
      <c r="J29" s="217"/>
    </row>
    <row r="30" spans="1:10" s="162" customFormat="1" ht="18.75" x14ac:dyDescent="0.3">
      <c r="A30" s="172">
        <v>18</v>
      </c>
      <c r="B30" s="174" t="s">
        <v>223</v>
      </c>
      <c r="C30" s="172">
        <v>1</v>
      </c>
      <c r="D30" s="173">
        <v>1</v>
      </c>
      <c r="E30" s="173">
        <v>1</v>
      </c>
      <c r="F30" s="173">
        <v>1</v>
      </c>
      <c r="G30" s="175">
        <v>0</v>
      </c>
      <c r="H30" s="175">
        <v>0</v>
      </c>
      <c r="I30" s="175">
        <v>0</v>
      </c>
      <c r="J30" s="217"/>
    </row>
    <row r="31" spans="1:10" s="162" customFormat="1" ht="18.75" x14ac:dyDescent="0.3">
      <c r="A31" s="172">
        <v>19</v>
      </c>
      <c r="B31" s="174" t="s">
        <v>223</v>
      </c>
      <c r="C31" s="172">
        <v>1</v>
      </c>
      <c r="D31" s="173">
        <v>1</v>
      </c>
      <c r="E31" s="173">
        <v>1</v>
      </c>
      <c r="F31" s="173">
        <v>1</v>
      </c>
      <c r="G31" s="175">
        <v>0</v>
      </c>
      <c r="H31" s="175">
        <v>0</v>
      </c>
      <c r="I31" s="175">
        <v>0</v>
      </c>
      <c r="J31" s="217"/>
    </row>
    <row r="32" spans="1:10" s="162" customFormat="1" ht="18.75" x14ac:dyDescent="0.3">
      <c r="A32" s="172">
        <v>20</v>
      </c>
      <c r="B32" s="174" t="s">
        <v>223</v>
      </c>
      <c r="C32" s="172">
        <v>1</v>
      </c>
      <c r="D32" s="173">
        <v>1</v>
      </c>
      <c r="E32" s="173">
        <v>1</v>
      </c>
      <c r="F32" s="173">
        <v>1</v>
      </c>
      <c r="G32" s="175">
        <v>0</v>
      </c>
      <c r="H32" s="175">
        <v>0</v>
      </c>
      <c r="I32" s="175">
        <v>0</v>
      </c>
      <c r="J32" s="217"/>
    </row>
    <row r="33" spans="1:10" s="162" customFormat="1" ht="33" customHeight="1" x14ac:dyDescent="0.3">
      <c r="A33" s="172">
        <v>21</v>
      </c>
      <c r="B33" s="174" t="s">
        <v>257</v>
      </c>
      <c r="C33" s="172" t="s">
        <v>175</v>
      </c>
      <c r="D33" s="173" t="s">
        <v>175</v>
      </c>
      <c r="E33" s="173">
        <v>1</v>
      </c>
      <c r="F33" s="173">
        <v>1</v>
      </c>
      <c r="G33" s="175" t="s">
        <v>175</v>
      </c>
      <c r="H33" s="175" t="s">
        <v>197</v>
      </c>
      <c r="I33" s="175" t="s">
        <v>175</v>
      </c>
      <c r="J33" s="217"/>
    </row>
    <row r="34" spans="1:10" s="162" customFormat="1" ht="18.75" x14ac:dyDescent="0.3">
      <c r="A34" s="168"/>
      <c r="B34" s="222" t="s">
        <v>12</v>
      </c>
      <c r="C34" s="168"/>
      <c r="D34" s="170"/>
      <c r="E34" s="170"/>
      <c r="F34" s="170"/>
      <c r="G34" s="170"/>
      <c r="H34" s="170"/>
      <c r="I34" s="170"/>
      <c r="J34" s="213"/>
    </row>
    <row r="35" spans="1:10" s="162" customFormat="1" ht="18.75" x14ac:dyDescent="0.3">
      <c r="A35" s="168"/>
      <c r="B35" s="222" t="s">
        <v>41</v>
      </c>
      <c r="C35" s="170"/>
      <c r="D35" s="170"/>
      <c r="E35" s="170"/>
      <c r="F35" s="170"/>
      <c r="G35" s="170"/>
      <c r="H35" s="170"/>
      <c r="I35" s="170"/>
      <c r="J35" s="213"/>
    </row>
    <row r="36" spans="1:10" s="162" customFormat="1" ht="18.75" x14ac:dyDescent="0.3">
      <c r="A36" s="179">
        <v>22</v>
      </c>
      <c r="B36" s="205" t="s">
        <v>51</v>
      </c>
      <c r="C36" s="206">
        <v>1</v>
      </c>
      <c r="D36" s="207">
        <v>1</v>
      </c>
      <c r="E36" s="207">
        <v>1</v>
      </c>
      <c r="F36" s="207">
        <v>1</v>
      </c>
      <c r="G36" s="227">
        <v>0</v>
      </c>
      <c r="H36" s="227">
        <v>0</v>
      </c>
      <c r="I36" s="227">
        <v>0</v>
      </c>
      <c r="J36" s="216"/>
    </row>
    <row r="37" spans="1:10" s="162" customFormat="1" ht="18.75" x14ac:dyDescent="0.3">
      <c r="A37" s="172">
        <v>23</v>
      </c>
      <c r="B37" s="174" t="s">
        <v>50</v>
      </c>
      <c r="C37" s="204">
        <v>1</v>
      </c>
      <c r="D37" s="203">
        <v>1</v>
      </c>
      <c r="E37" s="203">
        <v>1</v>
      </c>
      <c r="F37" s="203">
        <v>1</v>
      </c>
      <c r="G37" s="180">
        <v>0</v>
      </c>
      <c r="H37" s="180">
        <v>0</v>
      </c>
      <c r="I37" s="180">
        <v>0</v>
      </c>
      <c r="J37" s="217"/>
    </row>
    <row r="38" spans="1:10" s="162" customFormat="1" ht="18.75" x14ac:dyDescent="0.3">
      <c r="A38" s="172">
        <v>24</v>
      </c>
      <c r="B38" s="174" t="s">
        <v>50</v>
      </c>
      <c r="C38" s="204">
        <v>1</v>
      </c>
      <c r="D38" s="203">
        <v>1</v>
      </c>
      <c r="E38" s="203">
        <v>1</v>
      </c>
      <c r="F38" s="203">
        <v>1</v>
      </c>
      <c r="G38" s="180">
        <v>0</v>
      </c>
      <c r="H38" s="180">
        <v>0</v>
      </c>
      <c r="I38" s="180">
        <v>0</v>
      </c>
      <c r="J38" s="217"/>
    </row>
    <row r="39" spans="1:10" s="162" customFormat="1" ht="18.75" x14ac:dyDescent="0.3">
      <c r="A39" s="183">
        <v>25</v>
      </c>
      <c r="B39" s="184" t="s">
        <v>50</v>
      </c>
      <c r="C39" s="228">
        <v>1</v>
      </c>
      <c r="D39" s="229">
        <v>1</v>
      </c>
      <c r="E39" s="229">
        <v>1</v>
      </c>
      <c r="F39" s="229">
        <v>1</v>
      </c>
      <c r="G39" s="230">
        <v>0</v>
      </c>
      <c r="H39" s="230">
        <v>0</v>
      </c>
      <c r="I39" s="230">
        <v>0</v>
      </c>
      <c r="J39" s="223"/>
    </row>
    <row r="40" spans="1:10" s="209" customFormat="1" ht="18.75" x14ac:dyDescent="0.3">
      <c r="A40" s="294"/>
      <c r="B40" s="251"/>
      <c r="C40" s="252"/>
      <c r="D40" s="253"/>
      <c r="E40" s="253"/>
      <c r="F40" s="253"/>
      <c r="G40" s="254"/>
      <c r="H40" s="254"/>
      <c r="I40" s="254"/>
      <c r="J40" s="255">
        <v>19</v>
      </c>
    </row>
    <row r="41" spans="1:10" s="209" customFormat="1" ht="18.75" x14ac:dyDescent="0.3">
      <c r="A41" s="449" t="s">
        <v>5</v>
      </c>
      <c r="B41" s="449" t="s">
        <v>6</v>
      </c>
      <c r="C41" s="161" t="s">
        <v>218</v>
      </c>
      <c r="D41" s="452" t="s">
        <v>61</v>
      </c>
      <c r="E41" s="453"/>
      <c r="F41" s="454"/>
      <c r="G41" s="455" t="s">
        <v>57</v>
      </c>
      <c r="H41" s="456"/>
      <c r="I41" s="457"/>
      <c r="J41" s="458" t="s">
        <v>201</v>
      </c>
    </row>
    <row r="42" spans="1:10" s="209" customFormat="1" ht="18.75" x14ac:dyDescent="0.3">
      <c r="A42" s="450"/>
      <c r="B42" s="450"/>
      <c r="C42" s="163" t="s">
        <v>219</v>
      </c>
      <c r="D42" s="461" t="s">
        <v>62</v>
      </c>
      <c r="E42" s="462"/>
      <c r="F42" s="463"/>
      <c r="G42" s="461" t="s">
        <v>58</v>
      </c>
      <c r="H42" s="462"/>
      <c r="I42" s="463"/>
      <c r="J42" s="459"/>
    </row>
    <row r="43" spans="1:10" s="209" customFormat="1" ht="18.75" x14ac:dyDescent="0.3">
      <c r="A43" s="451"/>
      <c r="B43" s="451"/>
      <c r="C43" s="164" t="s">
        <v>220</v>
      </c>
      <c r="D43" s="192" t="s">
        <v>236</v>
      </c>
      <c r="E43" s="192" t="s">
        <v>238</v>
      </c>
      <c r="F43" s="192" t="s">
        <v>239</v>
      </c>
      <c r="G43" s="186">
        <v>2558</v>
      </c>
      <c r="H43" s="186">
        <v>2559</v>
      </c>
      <c r="I43" s="186">
        <v>2560</v>
      </c>
      <c r="J43" s="460"/>
    </row>
    <row r="44" spans="1:10" s="209" customFormat="1" ht="18.75" x14ac:dyDescent="0.3">
      <c r="A44" s="292"/>
      <c r="B44" s="178" t="s">
        <v>12</v>
      </c>
      <c r="C44" s="168"/>
      <c r="D44" s="168"/>
      <c r="E44" s="168"/>
      <c r="F44" s="168"/>
      <c r="G44" s="168"/>
      <c r="H44" s="168"/>
      <c r="I44" s="168"/>
      <c r="J44" s="293"/>
    </row>
    <row r="45" spans="1:10" s="209" customFormat="1" ht="18.75" x14ac:dyDescent="0.3">
      <c r="A45" s="292"/>
      <c r="B45" s="222" t="s">
        <v>41</v>
      </c>
      <c r="C45" s="168"/>
      <c r="D45" s="168"/>
      <c r="E45" s="168"/>
      <c r="F45" s="168"/>
      <c r="G45" s="168"/>
      <c r="H45" s="168"/>
      <c r="I45" s="168"/>
      <c r="J45" s="293"/>
    </row>
    <row r="46" spans="1:10" s="162" customFormat="1" ht="18.75" x14ac:dyDescent="0.3">
      <c r="A46" s="179">
        <v>26</v>
      </c>
      <c r="B46" s="205" t="s">
        <v>52</v>
      </c>
      <c r="C46" s="206">
        <v>1</v>
      </c>
      <c r="D46" s="207">
        <v>1</v>
      </c>
      <c r="E46" s="207">
        <v>1</v>
      </c>
      <c r="F46" s="207">
        <v>1</v>
      </c>
      <c r="G46" s="208">
        <v>0</v>
      </c>
      <c r="H46" s="208">
        <v>0</v>
      </c>
      <c r="I46" s="208">
        <v>0</v>
      </c>
      <c r="J46" s="213"/>
    </row>
    <row r="47" spans="1:10" s="162" customFormat="1" ht="18.75" x14ac:dyDescent="0.3">
      <c r="A47" s="172">
        <v>27</v>
      </c>
      <c r="B47" s="174" t="s">
        <v>193</v>
      </c>
      <c r="C47" s="181">
        <v>0</v>
      </c>
      <c r="D47" s="203">
        <v>1</v>
      </c>
      <c r="E47" s="203">
        <v>1</v>
      </c>
      <c r="F47" s="203">
        <v>1</v>
      </c>
      <c r="G47" s="175" t="s">
        <v>197</v>
      </c>
      <c r="H47" s="182">
        <v>0</v>
      </c>
      <c r="I47" s="182">
        <v>0</v>
      </c>
      <c r="J47" s="217" t="s">
        <v>174</v>
      </c>
    </row>
    <row r="48" spans="1:10" s="162" customFormat="1" ht="18.75" x14ac:dyDescent="0.3">
      <c r="A48" s="172">
        <v>28</v>
      </c>
      <c r="B48" s="174" t="s">
        <v>49</v>
      </c>
      <c r="C48" s="204">
        <v>1</v>
      </c>
      <c r="D48" s="203">
        <v>1</v>
      </c>
      <c r="E48" s="203">
        <v>1</v>
      </c>
      <c r="F48" s="203">
        <v>1</v>
      </c>
      <c r="G48" s="182">
        <v>0</v>
      </c>
      <c r="H48" s="182">
        <v>0</v>
      </c>
      <c r="I48" s="182">
        <v>0</v>
      </c>
      <c r="J48" s="217"/>
    </row>
    <row r="49" spans="1:10" s="162" customFormat="1" ht="18.75" x14ac:dyDescent="0.3">
      <c r="A49" s="172">
        <v>29</v>
      </c>
      <c r="B49" s="174" t="s">
        <v>48</v>
      </c>
      <c r="C49" s="203">
        <v>1</v>
      </c>
      <c r="D49" s="203">
        <v>1</v>
      </c>
      <c r="E49" s="203">
        <v>1</v>
      </c>
      <c r="F49" s="203">
        <v>1</v>
      </c>
      <c r="G49" s="182">
        <v>0</v>
      </c>
      <c r="H49" s="182">
        <v>0</v>
      </c>
      <c r="I49" s="182">
        <v>0</v>
      </c>
      <c r="J49" s="217"/>
    </row>
    <row r="50" spans="1:10" s="162" customFormat="1" ht="18.75" x14ac:dyDescent="0.3">
      <c r="A50" s="172">
        <v>30</v>
      </c>
      <c r="B50" s="174" t="s">
        <v>53</v>
      </c>
      <c r="C50" s="203">
        <v>1</v>
      </c>
      <c r="D50" s="203">
        <v>1</v>
      </c>
      <c r="E50" s="203">
        <v>1</v>
      </c>
      <c r="F50" s="203">
        <v>1</v>
      </c>
      <c r="G50" s="182">
        <v>0</v>
      </c>
      <c r="H50" s="182">
        <v>0</v>
      </c>
      <c r="I50" s="182">
        <v>0</v>
      </c>
      <c r="J50" s="217"/>
    </row>
    <row r="51" spans="1:10" s="162" customFormat="1" ht="18.75" x14ac:dyDescent="0.3">
      <c r="A51" s="172">
        <v>31</v>
      </c>
      <c r="B51" s="174" t="s">
        <v>194</v>
      </c>
      <c r="C51" s="182">
        <v>0</v>
      </c>
      <c r="D51" s="182">
        <v>1</v>
      </c>
      <c r="E51" s="182">
        <v>1</v>
      </c>
      <c r="F51" s="182">
        <v>1</v>
      </c>
      <c r="G51" s="175" t="s">
        <v>197</v>
      </c>
      <c r="H51" s="182">
        <v>0</v>
      </c>
      <c r="I51" s="182">
        <v>0</v>
      </c>
      <c r="J51" s="217" t="s">
        <v>174</v>
      </c>
    </row>
    <row r="52" spans="1:10" s="162" customFormat="1" ht="18.75" x14ac:dyDescent="0.3">
      <c r="A52" s="168"/>
      <c r="B52" s="222" t="s">
        <v>38</v>
      </c>
      <c r="C52" s="224"/>
      <c r="D52" s="224"/>
      <c r="E52" s="224"/>
      <c r="F52" s="224"/>
      <c r="G52" s="224"/>
      <c r="H52" s="224"/>
      <c r="I52" s="224"/>
      <c r="J52" s="213"/>
    </row>
    <row r="53" spans="1:10" s="162" customFormat="1" ht="18.75" x14ac:dyDescent="0.3">
      <c r="A53" s="179">
        <v>32</v>
      </c>
      <c r="B53" s="226" t="s">
        <v>46</v>
      </c>
      <c r="C53" s="206">
        <v>1</v>
      </c>
      <c r="D53" s="207">
        <v>1</v>
      </c>
      <c r="E53" s="207">
        <v>1</v>
      </c>
      <c r="F53" s="207">
        <v>1</v>
      </c>
      <c r="G53" s="208">
        <v>0</v>
      </c>
      <c r="H53" s="208">
        <v>0</v>
      </c>
      <c r="I53" s="208">
        <v>0</v>
      </c>
      <c r="J53" s="216"/>
    </row>
    <row r="54" spans="1:10" s="162" customFormat="1" ht="18.75" x14ac:dyDescent="0.3">
      <c r="A54" s="168"/>
      <c r="B54" s="222" t="s">
        <v>36</v>
      </c>
      <c r="C54" s="224"/>
      <c r="D54" s="225"/>
      <c r="E54" s="225"/>
      <c r="F54" s="225"/>
      <c r="G54" s="225"/>
      <c r="H54" s="225"/>
      <c r="I54" s="225"/>
      <c r="J54" s="213"/>
    </row>
    <row r="55" spans="1:10" s="162" customFormat="1" ht="18.75" x14ac:dyDescent="0.3">
      <c r="A55" s="179">
        <v>33</v>
      </c>
      <c r="B55" s="205" t="s">
        <v>47</v>
      </c>
      <c r="C55" s="179">
        <v>1</v>
      </c>
      <c r="D55" s="176">
        <v>1</v>
      </c>
      <c r="E55" s="176">
        <v>1</v>
      </c>
      <c r="F55" s="176">
        <v>1</v>
      </c>
      <c r="G55" s="177">
        <v>0</v>
      </c>
      <c r="H55" s="177">
        <v>0</v>
      </c>
      <c r="I55" s="177">
        <v>0</v>
      </c>
      <c r="J55" s="216"/>
    </row>
    <row r="56" spans="1:10" s="162" customFormat="1" ht="18.75" x14ac:dyDescent="0.3">
      <c r="A56" s="172">
        <v>34</v>
      </c>
      <c r="B56" s="174" t="s">
        <v>47</v>
      </c>
      <c r="C56" s="179">
        <v>1</v>
      </c>
      <c r="D56" s="176">
        <v>1</v>
      </c>
      <c r="E56" s="176">
        <v>1</v>
      </c>
      <c r="F56" s="176">
        <v>1</v>
      </c>
      <c r="G56" s="177">
        <v>0</v>
      </c>
      <c r="H56" s="177">
        <v>0</v>
      </c>
      <c r="I56" s="177">
        <v>0</v>
      </c>
      <c r="J56" s="217"/>
    </row>
    <row r="57" spans="1:10" s="162" customFormat="1" ht="18.75" x14ac:dyDescent="0.3">
      <c r="A57" s="172">
        <v>35</v>
      </c>
      <c r="B57" s="174" t="s">
        <v>46</v>
      </c>
      <c r="C57" s="179">
        <v>1</v>
      </c>
      <c r="D57" s="176">
        <v>1</v>
      </c>
      <c r="E57" s="176">
        <v>1</v>
      </c>
      <c r="F57" s="176">
        <v>1</v>
      </c>
      <c r="G57" s="177">
        <v>0</v>
      </c>
      <c r="H57" s="177">
        <v>0</v>
      </c>
      <c r="I57" s="177">
        <v>0</v>
      </c>
      <c r="J57" s="217"/>
    </row>
    <row r="58" spans="1:10" s="162" customFormat="1" ht="18.75" x14ac:dyDescent="0.3">
      <c r="A58" s="172">
        <v>36</v>
      </c>
      <c r="B58" s="174" t="s">
        <v>45</v>
      </c>
      <c r="C58" s="172">
        <v>1</v>
      </c>
      <c r="D58" s="173">
        <v>1</v>
      </c>
      <c r="E58" s="173">
        <v>1</v>
      </c>
      <c r="F58" s="173">
        <v>1</v>
      </c>
      <c r="G58" s="175">
        <v>0</v>
      </c>
      <c r="H58" s="175">
        <v>0</v>
      </c>
      <c r="I58" s="175">
        <v>0</v>
      </c>
      <c r="J58" s="217"/>
    </row>
    <row r="59" spans="1:10" s="162" customFormat="1" ht="19.5" thickBot="1" x14ac:dyDescent="0.35">
      <c r="A59" s="263">
        <v>37</v>
      </c>
      <c r="B59" s="264" t="s">
        <v>44</v>
      </c>
      <c r="C59" s="263">
        <v>1</v>
      </c>
      <c r="D59" s="265">
        <v>1</v>
      </c>
      <c r="E59" s="265">
        <v>1</v>
      </c>
      <c r="F59" s="265">
        <v>1</v>
      </c>
      <c r="G59" s="266">
        <v>0</v>
      </c>
      <c r="H59" s="266">
        <v>0</v>
      </c>
      <c r="I59" s="266">
        <v>0</v>
      </c>
      <c r="J59" s="267"/>
    </row>
    <row r="60" spans="1:10" s="162" customFormat="1" ht="19.5" thickTop="1" x14ac:dyDescent="0.3">
      <c r="A60" s="168"/>
      <c r="B60" s="222" t="s">
        <v>72</v>
      </c>
      <c r="C60" s="170"/>
      <c r="D60" s="170"/>
      <c r="E60" s="170"/>
      <c r="F60" s="170"/>
      <c r="G60" s="170"/>
      <c r="H60" s="170"/>
      <c r="I60" s="170"/>
      <c r="J60" s="213"/>
    </row>
    <row r="61" spans="1:10" s="162" customFormat="1" ht="15" customHeight="1" x14ac:dyDescent="0.3">
      <c r="A61" s="179">
        <v>38</v>
      </c>
      <c r="B61" s="205" t="s">
        <v>225</v>
      </c>
      <c r="C61" s="179">
        <v>1</v>
      </c>
      <c r="D61" s="176">
        <v>1</v>
      </c>
      <c r="E61" s="176">
        <v>1</v>
      </c>
      <c r="F61" s="176">
        <v>1</v>
      </c>
      <c r="G61" s="177">
        <v>0</v>
      </c>
      <c r="H61" s="177">
        <v>0</v>
      </c>
      <c r="I61" s="177">
        <v>0</v>
      </c>
      <c r="J61" s="216"/>
    </row>
    <row r="62" spans="1:10" s="162" customFormat="1" ht="28.5" customHeight="1" x14ac:dyDescent="0.3">
      <c r="A62" s="172">
        <v>39</v>
      </c>
      <c r="B62" s="174" t="s">
        <v>259</v>
      </c>
      <c r="C62" s="172">
        <v>1</v>
      </c>
      <c r="D62" s="173">
        <v>1</v>
      </c>
      <c r="E62" s="173">
        <v>1</v>
      </c>
      <c r="F62" s="173">
        <v>1</v>
      </c>
      <c r="G62" s="175">
        <v>0</v>
      </c>
      <c r="H62" s="175">
        <v>0</v>
      </c>
      <c r="I62" s="175">
        <v>0</v>
      </c>
      <c r="J62" s="217"/>
    </row>
    <row r="63" spans="1:10" s="162" customFormat="1" ht="18.75" x14ac:dyDescent="0.3">
      <c r="A63" s="172">
        <v>40</v>
      </c>
      <c r="B63" s="174" t="s">
        <v>227</v>
      </c>
      <c r="C63" s="172">
        <v>1</v>
      </c>
      <c r="D63" s="173">
        <v>1</v>
      </c>
      <c r="E63" s="173">
        <v>1</v>
      </c>
      <c r="F63" s="173">
        <v>1</v>
      </c>
      <c r="G63" s="175">
        <v>0</v>
      </c>
      <c r="H63" s="175">
        <v>0</v>
      </c>
      <c r="I63" s="175">
        <v>0</v>
      </c>
      <c r="J63" s="217"/>
    </row>
    <row r="64" spans="1:10" s="162" customFormat="1" ht="18.75" x14ac:dyDescent="0.3">
      <c r="A64" s="172">
        <v>41</v>
      </c>
      <c r="B64" s="174" t="s">
        <v>228</v>
      </c>
      <c r="C64" s="172">
        <v>1</v>
      </c>
      <c r="D64" s="173">
        <v>1</v>
      </c>
      <c r="E64" s="173">
        <v>1</v>
      </c>
      <c r="F64" s="173">
        <v>1</v>
      </c>
      <c r="G64" s="175">
        <v>0</v>
      </c>
      <c r="H64" s="175">
        <v>0</v>
      </c>
      <c r="I64" s="175">
        <v>0</v>
      </c>
      <c r="J64" s="217"/>
    </row>
    <row r="65" spans="1:10" s="162" customFormat="1" ht="18.75" x14ac:dyDescent="0.3">
      <c r="A65" s="172">
        <v>42</v>
      </c>
      <c r="B65" s="187" t="s">
        <v>229</v>
      </c>
      <c r="C65" s="200">
        <v>1</v>
      </c>
      <c r="D65" s="188">
        <v>1</v>
      </c>
      <c r="E65" s="188">
        <v>1</v>
      </c>
      <c r="F65" s="188">
        <v>1</v>
      </c>
      <c r="G65" s="189">
        <v>0</v>
      </c>
      <c r="H65" s="189">
        <v>0</v>
      </c>
      <c r="I65" s="189">
        <v>0</v>
      </c>
      <c r="J65" s="217" t="s">
        <v>67</v>
      </c>
    </row>
    <row r="66" spans="1:10" s="162" customFormat="1" ht="18.75" x14ac:dyDescent="0.3">
      <c r="A66" s="172">
        <v>43</v>
      </c>
      <c r="B66" s="174" t="s">
        <v>230</v>
      </c>
      <c r="C66" s="172">
        <v>1</v>
      </c>
      <c r="D66" s="173">
        <v>1</v>
      </c>
      <c r="E66" s="173">
        <v>1</v>
      </c>
      <c r="F66" s="173">
        <v>1</v>
      </c>
      <c r="G66" s="175">
        <v>0</v>
      </c>
      <c r="H66" s="175">
        <v>0</v>
      </c>
      <c r="I66" s="175">
        <v>0</v>
      </c>
      <c r="J66" s="217"/>
    </row>
    <row r="67" spans="1:10" s="162" customFormat="1" ht="18.75" x14ac:dyDescent="0.3">
      <c r="A67" s="172">
        <v>44</v>
      </c>
      <c r="B67" s="174" t="s">
        <v>231</v>
      </c>
      <c r="C67" s="197">
        <v>1</v>
      </c>
      <c r="D67" s="173">
        <v>1</v>
      </c>
      <c r="E67" s="173">
        <v>1</v>
      </c>
      <c r="F67" s="173">
        <v>1</v>
      </c>
      <c r="G67" s="175">
        <v>0</v>
      </c>
      <c r="H67" s="175">
        <v>0</v>
      </c>
      <c r="I67" s="175">
        <v>0</v>
      </c>
      <c r="J67" s="217" t="s">
        <v>67</v>
      </c>
    </row>
    <row r="68" spans="1:10" s="162" customFormat="1" ht="18.75" x14ac:dyDescent="0.3">
      <c r="A68" s="190"/>
      <c r="B68" s="215" t="s">
        <v>26</v>
      </c>
      <c r="C68" s="188"/>
      <c r="D68" s="188"/>
      <c r="E68" s="188"/>
      <c r="F68" s="188"/>
      <c r="G68" s="188"/>
      <c r="H68" s="188"/>
      <c r="I68" s="188"/>
      <c r="J68" s="218"/>
    </row>
    <row r="69" spans="1:10" s="162" customFormat="1" ht="18.75" x14ac:dyDescent="0.3">
      <c r="A69" s="179">
        <v>45</v>
      </c>
      <c r="B69" s="205" t="s">
        <v>27</v>
      </c>
      <c r="C69" s="176">
        <v>1</v>
      </c>
      <c r="D69" s="176">
        <v>1</v>
      </c>
      <c r="E69" s="176">
        <v>1</v>
      </c>
      <c r="F69" s="176">
        <v>1</v>
      </c>
      <c r="G69" s="177">
        <v>0</v>
      </c>
      <c r="H69" s="177">
        <v>0</v>
      </c>
      <c r="I69" s="177">
        <v>0</v>
      </c>
      <c r="J69" s="216"/>
    </row>
    <row r="70" spans="1:10" s="162" customFormat="1" ht="18.75" x14ac:dyDescent="0.3">
      <c r="A70" s="190"/>
      <c r="B70" s="215" t="s">
        <v>41</v>
      </c>
      <c r="C70" s="188"/>
      <c r="D70" s="188"/>
      <c r="E70" s="188"/>
      <c r="F70" s="188"/>
      <c r="G70" s="189"/>
      <c r="H70" s="189"/>
      <c r="I70" s="189"/>
      <c r="J70" s="218"/>
    </row>
    <row r="71" spans="1:10" s="162" customFormat="1" ht="18.75" x14ac:dyDescent="0.3">
      <c r="A71" s="179">
        <v>46</v>
      </c>
      <c r="B71" s="205" t="s">
        <v>49</v>
      </c>
      <c r="C71" s="176">
        <v>1</v>
      </c>
      <c r="D71" s="176">
        <v>1</v>
      </c>
      <c r="E71" s="176">
        <v>1</v>
      </c>
      <c r="F71" s="176">
        <v>1</v>
      </c>
      <c r="G71" s="177">
        <v>0</v>
      </c>
      <c r="H71" s="177">
        <v>0</v>
      </c>
      <c r="I71" s="177">
        <v>0</v>
      </c>
      <c r="J71" s="216"/>
    </row>
    <row r="72" spans="1:10" s="162" customFormat="1" ht="19.5" thickBot="1" x14ac:dyDescent="0.35">
      <c r="A72" s="168">
        <v>47</v>
      </c>
      <c r="B72" s="169" t="s">
        <v>192</v>
      </c>
      <c r="C72" s="248">
        <v>0</v>
      </c>
      <c r="D72" s="170">
        <v>1</v>
      </c>
      <c r="E72" s="170">
        <v>1</v>
      </c>
      <c r="F72" s="170">
        <v>1</v>
      </c>
      <c r="G72" s="177" t="s">
        <v>197</v>
      </c>
      <c r="H72" s="208">
        <v>0</v>
      </c>
      <c r="I72" s="208">
        <v>0</v>
      </c>
      <c r="J72" s="262" t="s">
        <v>174</v>
      </c>
    </row>
    <row r="73" spans="1:10" s="162" customFormat="1" ht="19.5" thickTop="1" x14ac:dyDescent="0.3">
      <c r="A73" s="210"/>
      <c r="B73" s="211" t="s">
        <v>22</v>
      </c>
      <c r="C73" s="212"/>
      <c r="D73" s="212"/>
      <c r="E73" s="212"/>
      <c r="F73" s="212"/>
      <c r="G73" s="212"/>
      <c r="H73" s="212"/>
      <c r="I73" s="212"/>
      <c r="J73" s="213"/>
    </row>
    <row r="74" spans="1:10" s="162" customFormat="1" ht="18.75" x14ac:dyDescent="0.3">
      <c r="A74" s="179">
        <v>48</v>
      </c>
      <c r="B74" s="205" t="s">
        <v>232</v>
      </c>
      <c r="C74" s="179">
        <v>1</v>
      </c>
      <c r="D74" s="176">
        <v>1</v>
      </c>
      <c r="E74" s="176">
        <v>1</v>
      </c>
      <c r="F74" s="176">
        <v>1</v>
      </c>
      <c r="G74" s="177">
        <v>0</v>
      </c>
      <c r="H74" s="177">
        <v>0</v>
      </c>
      <c r="I74" s="177">
        <v>0</v>
      </c>
      <c r="J74" s="213"/>
    </row>
    <row r="75" spans="1:10" s="162" customFormat="1" ht="18.75" x14ac:dyDescent="0.3">
      <c r="A75" s="172">
        <v>49</v>
      </c>
      <c r="B75" s="174" t="s">
        <v>233</v>
      </c>
      <c r="C75" s="173">
        <v>1</v>
      </c>
      <c r="D75" s="173">
        <v>1</v>
      </c>
      <c r="E75" s="173">
        <v>1</v>
      </c>
      <c r="F75" s="173">
        <v>1</v>
      </c>
      <c r="G75" s="175">
        <v>0</v>
      </c>
      <c r="H75" s="175">
        <v>0</v>
      </c>
      <c r="I75" s="175">
        <v>0</v>
      </c>
      <c r="J75" s="217"/>
    </row>
    <row r="76" spans="1:10" s="162" customFormat="1" ht="18.75" x14ac:dyDescent="0.3">
      <c r="A76" s="172">
        <v>50</v>
      </c>
      <c r="B76" s="174" t="s">
        <v>233</v>
      </c>
      <c r="C76" s="197">
        <v>1</v>
      </c>
      <c r="D76" s="173">
        <v>1</v>
      </c>
      <c r="E76" s="173">
        <v>1</v>
      </c>
      <c r="F76" s="173">
        <v>1</v>
      </c>
      <c r="G76" s="175">
        <v>0</v>
      </c>
      <c r="H76" s="175">
        <v>0</v>
      </c>
      <c r="I76" s="175">
        <v>0</v>
      </c>
      <c r="J76" s="217" t="s">
        <v>67</v>
      </c>
    </row>
    <row r="77" spans="1:10" s="162" customFormat="1" ht="18.75" x14ac:dyDescent="0.3">
      <c r="A77" s="172">
        <v>51</v>
      </c>
      <c r="B77" s="174" t="s">
        <v>234</v>
      </c>
      <c r="C77" s="197">
        <v>1</v>
      </c>
      <c r="D77" s="173">
        <v>1</v>
      </c>
      <c r="E77" s="173">
        <v>1</v>
      </c>
      <c r="F77" s="173">
        <v>1</v>
      </c>
      <c r="G77" s="175">
        <v>0</v>
      </c>
      <c r="H77" s="175">
        <v>0</v>
      </c>
      <c r="I77" s="175">
        <v>0</v>
      </c>
      <c r="J77" s="217" t="s">
        <v>67</v>
      </c>
    </row>
    <row r="78" spans="1:10" s="162" customFormat="1" ht="18.75" x14ac:dyDescent="0.3">
      <c r="A78" s="183">
        <v>52</v>
      </c>
      <c r="B78" s="184" t="s">
        <v>235</v>
      </c>
      <c r="C78" s="219">
        <v>1</v>
      </c>
      <c r="D78" s="220">
        <v>1</v>
      </c>
      <c r="E78" s="220">
        <v>1</v>
      </c>
      <c r="F78" s="220">
        <v>1</v>
      </c>
      <c r="G78" s="185">
        <v>0</v>
      </c>
      <c r="H78" s="185">
        <v>0</v>
      </c>
      <c r="I78" s="185">
        <v>0</v>
      </c>
      <c r="J78" s="223" t="s">
        <v>67</v>
      </c>
    </row>
    <row r="79" spans="1:10" s="162" customFormat="1" ht="18.75" x14ac:dyDescent="0.3">
      <c r="A79" s="242"/>
      <c r="B79" s="243"/>
      <c r="C79" s="259"/>
      <c r="D79" s="260"/>
      <c r="E79" s="260"/>
      <c r="F79" s="260"/>
      <c r="G79" s="261"/>
      <c r="H79" s="261"/>
      <c r="I79" s="261"/>
      <c r="J79" s="247"/>
    </row>
    <row r="80" spans="1:10" s="162" customFormat="1" ht="18.75" x14ac:dyDescent="0.3">
      <c r="A80" s="242"/>
      <c r="B80" s="243"/>
      <c r="C80" s="259"/>
      <c r="D80" s="260"/>
      <c r="E80" s="260"/>
      <c r="F80" s="260"/>
      <c r="G80" s="261"/>
      <c r="H80" s="261"/>
      <c r="I80" s="261"/>
      <c r="J80" s="247"/>
    </row>
    <row r="81" spans="1:15" s="162" customFormat="1" ht="18.75" x14ac:dyDescent="0.3">
      <c r="A81" s="294"/>
      <c r="B81" s="251"/>
      <c r="C81" s="256"/>
      <c r="D81" s="257"/>
      <c r="E81" s="257"/>
      <c r="F81" s="257"/>
      <c r="G81" s="258"/>
      <c r="H81" s="258"/>
      <c r="I81" s="258"/>
      <c r="J81" s="255">
        <v>20</v>
      </c>
    </row>
    <row r="82" spans="1:15" s="162" customFormat="1" ht="18.75" x14ac:dyDescent="0.3">
      <c r="A82" s="449" t="s">
        <v>5</v>
      </c>
      <c r="B82" s="449" t="s">
        <v>6</v>
      </c>
      <c r="C82" s="161" t="s">
        <v>218</v>
      </c>
      <c r="D82" s="452" t="s">
        <v>61</v>
      </c>
      <c r="E82" s="453"/>
      <c r="F82" s="454"/>
      <c r="G82" s="455" t="s">
        <v>57</v>
      </c>
      <c r="H82" s="456"/>
      <c r="I82" s="457"/>
      <c r="J82" s="458" t="s">
        <v>201</v>
      </c>
    </row>
    <row r="83" spans="1:15" s="162" customFormat="1" ht="18.75" x14ac:dyDescent="0.3">
      <c r="A83" s="450"/>
      <c r="B83" s="450"/>
      <c r="C83" s="163" t="s">
        <v>219</v>
      </c>
      <c r="D83" s="461" t="s">
        <v>62</v>
      </c>
      <c r="E83" s="462"/>
      <c r="F83" s="463"/>
      <c r="G83" s="461" t="s">
        <v>58</v>
      </c>
      <c r="H83" s="462"/>
      <c r="I83" s="463"/>
      <c r="J83" s="459"/>
    </row>
    <row r="84" spans="1:15" s="162" customFormat="1" ht="18.75" x14ac:dyDescent="0.3">
      <c r="A84" s="451"/>
      <c r="B84" s="450"/>
      <c r="C84" s="164" t="s">
        <v>220</v>
      </c>
      <c r="D84" s="234" t="s">
        <v>236</v>
      </c>
      <c r="E84" s="192" t="s">
        <v>238</v>
      </c>
      <c r="F84" s="192" t="s">
        <v>239</v>
      </c>
      <c r="G84" s="186">
        <v>2558</v>
      </c>
      <c r="H84" s="186">
        <v>2559</v>
      </c>
      <c r="I84" s="186">
        <v>2560</v>
      </c>
      <c r="J84" s="460"/>
    </row>
    <row r="85" spans="1:15" s="162" customFormat="1" ht="18.75" x14ac:dyDescent="0.3">
      <c r="A85" s="168"/>
      <c r="B85" s="178" t="s">
        <v>22</v>
      </c>
      <c r="C85" s="201"/>
      <c r="D85" s="170"/>
      <c r="E85" s="170"/>
      <c r="F85" s="170"/>
      <c r="G85" s="171"/>
      <c r="H85" s="171"/>
      <c r="I85" s="171"/>
      <c r="J85" s="213"/>
    </row>
    <row r="86" spans="1:15" s="162" customFormat="1" ht="18.75" x14ac:dyDescent="0.3">
      <c r="A86" s="179">
        <v>53</v>
      </c>
      <c r="B86" s="205" t="s">
        <v>222</v>
      </c>
      <c r="C86" s="176">
        <v>1</v>
      </c>
      <c r="D86" s="176">
        <v>1</v>
      </c>
      <c r="E86" s="176">
        <v>1</v>
      </c>
      <c r="F86" s="176">
        <v>1</v>
      </c>
      <c r="G86" s="177">
        <v>0</v>
      </c>
      <c r="H86" s="177">
        <v>0</v>
      </c>
      <c r="I86" s="177">
        <v>0</v>
      </c>
      <c r="J86" s="216"/>
    </row>
    <row r="87" spans="1:15" s="162" customFormat="1" ht="18.75" x14ac:dyDescent="0.3">
      <c r="A87" s="190"/>
      <c r="B87" s="215" t="s">
        <v>41</v>
      </c>
      <c r="C87" s="170"/>
      <c r="D87" s="170"/>
      <c r="E87" s="170"/>
      <c r="F87" s="170"/>
      <c r="G87" s="171"/>
      <c r="H87" s="171"/>
      <c r="I87" s="171"/>
      <c r="J87" s="213"/>
    </row>
    <row r="88" spans="1:15" s="162" customFormat="1" ht="18.75" x14ac:dyDescent="0.3">
      <c r="A88" s="179">
        <v>54</v>
      </c>
      <c r="B88" s="205" t="s">
        <v>40</v>
      </c>
      <c r="C88" s="176">
        <v>1</v>
      </c>
      <c r="D88" s="176">
        <v>1</v>
      </c>
      <c r="E88" s="176">
        <v>1</v>
      </c>
      <c r="F88" s="176">
        <v>1</v>
      </c>
      <c r="G88" s="177">
        <v>0</v>
      </c>
      <c r="H88" s="177">
        <v>0</v>
      </c>
      <c r="I88" s="177">
        <v>0</v>
      </c>
      <c r="J88" s="213"/>
    </row>
    <row r="89" spans="1:15" s="162" customFormat="1" ht="18.75" x14ac:dyDescent="0.3">
      <c r="A89" s="172">
        <v>55</v>
      </c>
      <c r="B89" s="191" t="s">
        <v>39</v>
      </c>
      <c r="C89" s="176">
        <v>1</v>
      </c>
      <c r="D89" s="173">
        <v>1</v>
      </c>
      <c r="E89" s="173">
        <v>1</v>
      </c>
      <c r="F89" s="173">
        <v>1</v>
      </c>
      <c r="G89" s="175">
        <v>0</v>
      </c>
      <c r="H89" s="175">
        <v>0</v>
      </c>
      <c r="I89" s="175">
        <v>0</v>
      </c>
      <c r="J89" s="217"/>
    </row>
    <row r="90" spans="1:15" s="162" customFormat="1" ht="18.75" x14ac:dyDescent="0.3">
      <c r="A90" s="172">
        <v>56</v>
      </c>
      <c r="B90" s="191" t="s">
        <v>172</v>
      </c>
      <c r="C90" s="175">
        <v>0</v>
      </c>
      <c r="D90" s="173">
        <v>1</v>
      </c>
      <c r="E90" s="173">
        <v>1</v>
      </c>
      <c r="F90" s="173">
        <v>1</v>
      </c>
      <c r="G90" s="175" t="s">
        <v>197</v>
      </c>
      <c r="H90" s="182">
        <v>0</v>
      </c>
      <c r="I90" s="182">
        <v>0</v>
      </c>
      <c r="J90" s="217" t="s">
        <v>174</v>
      </c>
    </row>
    <row r="91" spans="1:15" s="162" customFormat="1" ht="18.75" x14ac:dyDescent="0.3">
      <c r="A91" s="190"/>
      <c r="B91" s="215" t="s">
        <v>38</v>
      </c>
      <c r="C91" s="188"/>
      <c r="D91" s="188"/>
      <c r="E91" s="188"/>
      <c r="F91" s="188"/>
      <c r="G91" s="189"/>
      <c r="H91" s="189"/>
      <c r="I91" s="189"/>
      <c r="J91" s="218"/>
    </row>
    <row r="92" spans="1:15" s="162" customFormat="1" ht="18.75" x14ac:dyDescent="0.3">
      <c r="A92" s="168">
        <v>57</v>
      </c>
      <c r="B92" s="169" t="s">
        <v>37</v>
      </c>
      <c r="C92" s="170">
        <v>1</v>
      </c>
      <c r="D92" s="170">
        <v>1</v>
      </c>
      <c r="E92" s="170">
        <v>1</v>
      </c>
      <c r="F92" s="170">
        <v>1</v>
      </c>
      <c r="G92" s="171">
        <v>0</v>
      </c>
      <c r="H92" s="171">
        <v>0</v>
      </c>
      <c r="I92" s="171">
        <v>0</v>
      </c>
      <c r="J92" s="213"/>
    </row>
    <row r="93" spans="1:15" s="162" customFormat="1" ht="18.75" x14ac:dyDescent="0.3">
      <c r="A93" s="172">
        <v>58</v>
      </c>
      <c r="B93" s="174" t="s">
        <v>37</v>
      </c>
      <c r="C93" s="197">
        <v>1</v>
      </c>
      <c r="D93" s="173">
        <v>1</v>
      </c>
      <c r="E93" s="173">
        <v>1</v>
      </c>
      <c r="F93" s="173">
        <v>1</v>
      </c>
      <c r="G93" s="175">
        <v>0</v>
      </c>
      <c r="H93" s="175">
        <v>0</v>
      </c>
      <c r="I93" s="175">
        <v>0</v>
      </c>
      <c r="J93" s="217" t="s">
        <v>67</v>
      </c>
    </row>
    <row r="94" spans="1:15" s="162" customFormat="1" ht="18.75" x14ac:dyDescent="0.3">
      <c r="A94" s="190"/>
      <c r="B94" s="215" t="s">
        <v>36</v>
      </c>
      <c r="C94" s="189"/>
      <c r="D94" s="188"/>
      <c r="E94" s="188"/>
      <c r="F94" s="188"/>
      <c r="G94" s="189"/>
      <c r="H94" s="250"/>
      <c r="I94" s="250"/>
      <c r="J94" s="218"/>
    </row>
    <row r="95" spans="1:15" s="162" customFormat="1" ht="18.75" x14ac:dyDescent="0.3">
      <c r="A95" s="168">
        <v>59</v>
      </c>
      <c r="B95" s="169" t="s">
        <v>35</v>
      </c>
      <c r="C95" s="170">
        <v>1</v>
      </c>
      <c r="D95" s="170">
        <v>1</v>
      </c>
      <c r="E95" s="170">
        <v>1</v>
      </c>
      <c r="F95" s="170">
        <v>1</v>
      </c>
      <c r="G95" s="171">
        <v>0</v>
      </c>
      <c r="H95" s="171">
        <v>0</v>
      </c>
      <c r="I95" s="171">
        <v>0</v>
      </c>
      <c r="J95" s="213"/>
    </row>
    <row r="96" spans="1:15" s="162" customFormat="1" ht="18.75" x14ac:dyDescent="0.3">
      <c r="A96" s="172">
        <v>60</v>
      </c>
      <c r="B96" s="169" t="s">
        <v>35</v>
      </c>
      <c r="C96" s="197">
        <v>1</v>
      </c>
      <c r="D96" s="173">
        <v>1</v>
      </c>
      <c r="E96" s="173">
        <v>1</v>
      </c>
      <c r="F96" s="173">
        <v>1</v>
      </c>
      <c r="G96" s="175">
        <v>0</v>
      </c>
      <c r="H96" s="175">
        <v>0</v>
      </c>
      <c r="I96" s="175">
        <v>0</v>
      </c>
      <c r="J96" s="217"/>
      <c r="O96" s="249"/>
    </row>
    <row r="97" spans="1:10" s="162" customFormat="1" ht="20.25" customHeight="1" x14ac:dyDescent="0.3">
      <c r="A97" s="172">
        <v>61</v>
      </c>
      <c r="B97" s="174" t="s">
        <v>35</v>
      </c>
      <c r="C97" s="175">
        <v>0</v>
      </c>
      <c r="D97" s="173">
        <v>1</v>
      </c>
      <c r="E97" s="173">
        <v>1</v>
      </c>
      <c r="F97" s="173">
        <v>1</v>
      </c>
      <c r="G97" s="175" t="s">
        <v>197</v>
      </c>
      <c r="H97" s="182">
        <v>0</v>
      </c>
      <c r="I97" s="182">
        <v>0</v>
      </c>
      <c r="J97" s="217" t="s">
        <v>174</v>
      </c>
    </row>
    <row r="98" spans="1:10" s="162" customFormat="1" ht="20.25" customHeight="1" x14ac:dyDescent="0.3">
      <c r="A98" s="183">
        <v>62</v>
      </c>
      <c r="B98" s="174" t="s">
        <v>37</v>
      </c>
      <c r="C98" s="175">
        <v>0</v>
      </c>
      <c r="D98" s="173">
        <v>1</v>
      </c>
      <c r="E98" s="173">
        <v>1</v>
      </c>
      <c r="F98" s="173">
        <v>1</v>
      </c>
      <c r="G98" s="175" t="s">
        <v>197</v>
      </c>
      <c r="H98" s="182">
        <v>0</v>
      </c>
      <c r="I98" s="182">
        <v>0</v>
      </c>
      <c r="J98" s="217" t="s">
        <v>174</v>
      </c>
    </row>
    <row r="99" spans="1:10" s="162" customFormat="1" ht="18.75" x14ac:dyDescent="0.3">
      <c r="A99" s="447" t="s">
        <v>28</v>
      </c>
      <c r="B99" s="448"/>
      <c r="C99" s="186">
        <f>SUM(C12:C98)</f>
        <v>52</v>
      </c>
      <c r="D99" s="192">
        <f>SUM(D12:D98)</f>
        <v>60</v>
      </c>
      <c r="E99" s="192">
        <f>SUM(E12:E98)</f>
        <v>61</v>
      </c>
      <c r="F99" s="192">
        <f>SUM(F12:F98)</f>
        <v>61</v>
      </c>
      <c r="G99" s="192" t="s">
        <v>224</v>
      </c>
      <c r="H99" s="202" t="s">
        <v>256</v>
      </c>
      <c r="I99" s="202">
        <v>0</v>
      </c>
      <c r="J99" s="214"/>
    </row>
    <row r="100" spans="1:10" s="162" customFormat="1" ht="18.75" x14ac:dyDescent="0.3">
      <c r="A100" s="193"/>
      <c r="B100" s="193"/>
      <c r="C100" s="193"/>
      <c r="D100" s="193"/>
      <c r="E100" s="193"/>
      <c r="F100" s="193"/>
      <c r="G100" s="193"/>
      <c r="H100" s="193"/>
      <c r="I100" s="193"/>
      <c r="J100" s="195"/>
    </row>
    <row r="101" spans="1:10" s="162" customFormat="1" ht="18.75" x14ac:dyDescent="0.3">
      <c r="A101" s="193"/>
      <c r="B101" s="193"/>
      <c r="C101" s="193"/>
      <c r="D101" s="193"/>
      <c r="E101" s="193"/>
      <c r="F101" s="193"/>
      <c r="G101" s="193"/>
      <c r="H101" s="193"/>
      <c r="I101" s="193"/>
      <c r="J101" s="195"/>
    </row>
  </sheetData>
  <mergeCells count="22">
    <mergeCell ref="A9:A11"/>
    <mergeCell ref="B9:B11"/>
    <mergeCell ref="D9:F9"/>
    <mergeCell ref="G9:I9"/>
    <mergeCell ref="J9:J11"/>
    <mergeCell ref="D10:F10"/>
    <mergeCell ref="G10:I10"/>
    <mergeCell ref="J82:J84"/>
    <mergeCell ref="D83:F83"/>
    <mergeCell ref="G83:I83"/>
    <mergeCell ref="A41:A43"/>
    <mergeCell ref="B41:B43"/>
    <mergeCell ref="D41:F41"/>
    <mergeCell ref="G41:I41"/>
    <mergeCell ref="J41:J43"/>
    <mergeCell ref="D42:F42"/>
    <mergeCell ref="G42:I42"/>
    <mergeCell ref="A99:B99"/>
    <mergeCell ref="A82:A84"/>
    <mergeCell ref="B82:B84"/>
    <mergeCell ref="D82:F82"/>
    <mergeCell ref="G82:I82"/>
  </mergeCells>
  <pageMargins left="0.51181102362204722" right="0.31496062992125984" top="0.35433070866141736" bottom="0.15748031496062992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104"/>
  <sheetViews>
    <sheetView zoomScaleNormal="100" workbookViewId="0">
      <selection activeCell="L21" sqref="L21"/>
    </sheetView>
  </sheetViews>
  <sheetFormatPr defaultRowHeight="15" x14ac:dyDescent="0.25"/>
  <cols>
    <col min="1" max="1" width="3.75" style="1" customWidth="1"/>
    <col min="2" max="2" width="32" style="1" customWidth="1"/>
    <col min="3" max="3" width="5.125" style="1" customWidth="1"/>
    <col min="4" max="6" width="5.875" style="1" customWidth="1"/>
    <col min="7" max="9" width="5.375" style="1" customWidth="1"/>
    <col min="10" max="10" width="14.5" style="196" customWidth="1"/>
  </cols>
  <sheetData>
    <row r="1" spans="1:12" ht="20.25" x14ac:dyDescent="0.3">
      <c r="A1" s="158"/>
      <c r="B1" s="158"/>
      <c r="C1" s="158"/>
      <c r="D1" s="158"/>
      <c r="E1" s="158"/>
      <c r="F1" s="158"/>
      <c r="G1" s="158"/>
      <c r="H1" s="158"/>
      <c r="I1" s="158"/>
      <c r="J1" s="194" t="s">
        <v>254</v>
      </c>
      <c r="K1" s="159"/>
      <c r="L1" s="159"/>
    </row>
    <row r="2" spans="1:12" ht="20.25" x14ac:dyDescent="0.3">
      <c r="A2" s="158" t="s">
        <v>200</v>
      </c>
      <c r="B2" s="158"/>
      <c r="C2" s="158"/>
      <c r="D2" s="158"/>
      <c r="E2" s="158"/>
      <c r="F2" s="158"/>
      <c r="G2" s="158"/>
      <c r="H2" s="158"/>
      <c r="I2" s="158"/>
      <c r="J2" s="194"/>
      <c r="K2" s="159"/>
      <c r="L2" s="159"/>
    </row>
    <row r="3" spans="1:12" ht="20.25" x14ac:dyDescent="0.3">
      <c r="A3" s="158"/>
      <c r="B3" s="160" t="s">
        <v>253</v>
      </c>
      <c r="C3" s="160"/>
      <c r="D3" s="160"/>
      <c r="E3" s="160"/>
      <c r="F3" s="160"/>
      <c r="G3" s="160"/>
      <c r="H3" s="160"/>
      <c r="I3" s="158"/>
      <c r="J3" s="194"/>
      <c r="K3" s="159"/>
      <c r="L3" s="159"/>
    </row>
    <row r="4" spans="1:12" ht="20.25" x14ac:dyDescent="0.3">
      <c r="A4" s="158"/>
      <c r="B4" s="160" t="s">
        <v>202</v>
      </c>
      <c r="C4" s="160"/>
      <c r="D4" s="160"/>
      <c r="E4" s="160"/>
      <c r="F4" s="160"/>
      <c r="G4" s="160"/>
      <c r="H4" s="160"/>
      <c r="I4" s="158"/>
      <c r="J4" s="194"/>
      <c r="K4" s="159"/>
      <c r="L4" s="159"/>
    </row>
    <row r="5" spans="1:12" ht="20.25" x14ac:dyDescent="0.3">
      <c r="A5" s="158"/>
      <c r="B5" s="160" t="s">
        <v>203</v>
      </c>
      <c r="C5" s="160"/>
      <c r="D5" s="160"/>
      <c r="E5" s="160"/>
      <c r="F5" s="160"/>
      <c r="G5" s="160"/>
      <c r="H5" s="160"/>
      <c r="I5" s="158"/>
      <c r="J5" s="194"/>
      <c r="K5" s="159"/>
      <c r="L5" s="159"/>
    </row>
    <row r="6" spans="1:12" ht="20.25" x14ac:dyDescent="0.3">
      <c r="A6" s="158"/>
      <c r="B6" s="160" t="s">
        <v>204</v>
      </c>
      <c r="C6" s="160"/>
      <c r="D6" s="160"/>
      <c r="E6" s="160"/>
      <c r="F6" s="160"/>
      <c r="G6" s="160"/>
      <c r="H6" s="160"/>
      <c r="I6" s="158"/>
      <c r="J6" s="194"/>
      <c r="K6" s="159"/>
      <c r="L6" s="159"/>
    </row>
    <row r="7" spans="1:12" ht="20.25" x14ac:dyDescent="0.3">
      <c r="A7" s="158" t="s">
        <v>0</v>
      </c>
      <c r="B7" s="160" t="s">
        <v>205</v>
      </c>
      <c r="C7" s="160"/>
      <c r="D7" s="160"/>
      <c r="E7" s="160"/>
      <c r="F7" s="160"/>
      <c r="G7" s="160"/>
      <c r="H7" s="160"/>
      <c r="I7" s="158"/>
      <c r="J7" s="194"/>
      <c r="K7" s="159"/>
      <c r="L7" s="159"/>
    </row>
    <row r="8" spans="1:12" ht="20.25" x14ac:dyDescent="0.3">
      <c r="A8" s="158"/>
      <c r="B8" s="158"/>
      <c r="C8" s="158"/>
      <c r="D8" s="158"/>
      <c r="E8" s="158"/>
      <c r="F8" s="158"/>
      <c r="G8" s="158"/>
      <c r="H8" s="158"/>
      <c r="I8" s="158"/>
      <c r="J8" s="194"/>
      <c r="K8" s="159"/>
      <c r="L8" s="159"/>
    </row>
    <row r="9" spans="1:12" s="162" customFormat="1" ht="18.75" x14ac:dyDescent="0.3">
      <c r="A9" s="449" t="s">
        <v>5</v>
      </c>
      <c r="B9" s="449" t="s">
        <v>6</v>
      </c>
      <c r="C9" s="231" t="s">
        <v>218</v>
      </c>
      <c r="D9" s="452" t="s">
        <v>61</v>
      </c>
      <c r="E9" s="453"/>
      <c r="F9" s="454"/>
      <c r="G9" s="455" t="s">
        <v>57</v>
      </c>
      <c r="H9" s="456"/>
      <c r="I9" s="457"/>
      <c r="J9" s="458" t="s">
        <v>201</v>
      </c>
    </row>
    <row r="10" spans="1:12" s="162" customFormat="1" ht="18.75" x14ac:dyDescent="0.3">
      <c r="A10" s="450"/>
      <c r="B10" s="450"/>
      <c r="C10" s="232" t="s">
        <v>219</v>
      </c>
      <c r="D10" s="461" t="s">
        <v>62</v>
      </c>
      <c r="E10" s="462"/>
      <c r="F10" s="463"/>
      <c r="G10" s="461" t="s">
        <v>58</v>
      </c>
      <c r="H10" s="462"/>
      <c r="I10" s="463"/>
      <c r="J10" s="459"/>
    </row>
    <row r="11" spans="1:12" s="162" customFormat="1" ht="18.75" x14ac:dyDescent="0.3">
      <c r="A11" s="450"/>
      <c r="B11" s="450"/>
      <c r="C11" s="233" t="s">
        <v>237</v>
      </c>
      <c r="D11" s="161">
        <v>2558</v>
      </c>
      <c r="E11" s="161">
        <v>2559</v>
      </c>
      <c r="F11" s="161">
        <v>2560</v>
      </c>
      <c r="G11" s="161">
        <v>2558</v>
      </c>
      <c r="H11" s="161">
        <v>2559</v>
      </c>
      <c r="I11" s="161">
        <v>2560</v>
      </c>
      <c r="J11" s="460"/>
    </row>
    <row r="12" spans="1:12" s="162" customFormat="1" ht="18.75" x14ac:dyDescent="0.3">
      <c r="A12" s="161">
        <v>1</v>
      </c>
      <c r="B12" s="165" t="s">
        <v>206</v>
      </c>
      <c r="C12" s="161">
        <v>1</v>
      </c>
      <c r="D12" s="166">
        <v>1</v>
      </c>
      <c r="E12" s="166">
        <v>1</v>
      </c>
      <c r="F12" s="166">
        <v>1</v>
      </c>
      <c r="G12" s="167">
        <v>0</v>
      </c>
      <c r="H12" s="167">
        <v>0</v>
      </c>
      <c r="I12" s="167">
        <v>0</v>
      </c>
      <c r="J12" s="213"/>
    </row>
    <row r="13" spans="1:12" s="162" customFormat="1" ht="18.75" x14ac:dyDescent="0.3">
      <c r="A13" s="183">
        <v>2</v>
      </c>
      <c r="B13" s="184" t="s">
        <v>207</v>
      </c>
      <c r="C13" s="183">
        <v>1</v>
      </c>
      <c r="D13" s="220">
        <v>1</v>
      </c>
      <c r="E13" s="220">
        <v>1</v>
      </c>
      <c r="F13" s="220">
        <v>1</v>
      </c>
      <c r="G13" s="185">
        <v>0</v>
      </c>
      <c r="H13" s="185">
        <v>0</v>
      </c>
      <c r="I13" s="185">
        <v>0</v>
      </c>
      <c r="J13" s="223"/>
    </row>
    <row r="14" spans="1:12" s="162" customFormat="1" ht="18.75" x14ac:dyDescent="0.3">
      <c r="A14" s="168"/>
      <c r="B14" s="222" t="s">
        <v>69</v>
      </c>
      <c r="C14" s="168"/>
      <c r="D14" s="170"/>
      <c r="E14" s="170"/>
      <c r="F14" s="170"/>
      <c r="G14" s="170"/>
      <c r="H14" s="170"/>
      <c r="I14" s="170"/>
      <c r="J14" s="213"/>
    </row>
    <row r="15" spans="1:12" s="162" customFormat="1" ht="18.75" x14ac:dyDescent="0.3">
      <c r="A15" s="179">
        <v>3</v>
      </c>
      <c r="B15" s="205" t="s">
        <v>208</v>
      </c>
      <c r="C15" s="176">
        <v>1</v>
      </c>
      <c r="D15" s="176">
        <v>1</v>
      </c>
      <c r="E15" s="176">
        <v>1</v>
      </c>
      <c r="F15" s="176">
        <v>1</v>
      </c>
      <c r="G15" s="177">
        <v>0</v>
      </c>
      <c r="H15" s="177">
        <v>0</v>
      </c>
      <c r="I15" s="177">
        <v>0</v>
      </c>
      <c r="J15" s="216"/>
    </row>
    <row r="16" spans="1:12" s="162" customFormat="1" ht="18.75" x14ac:dyDescent="0.3">
      <c r="A16" s="172">
        <v>4</v>
      </c>
      <c r="B16" s="174" t="s">
        <v>209</v>
      </c>
      <c r="C16" s="172">
        <v>1</v>
      </c>
      <c r="D16" s="173">
        <v>1</v>
      </c>
      <c r="E16" s="173">
        <v>1</v>
      </c>
      <c r="F16" s="173">
        <v>1</v>
      </c>
      <c r="G16" s="175">
        <v>0</v>
      </c>
      <c r="H16" s="175">
        <v>0</v>
      </c>
      <c r="I16" s="175">
        <v>0</v>
      </c>
      <c r="J16" s="217"/>
    </row>
    <row r="17" spans="1:10" s="162" customFormat="1" ht="30" customHeight="1" x14ac:dyDescent="0.3">
      <c r="A17" s="172">
        <v>5</v>
      </c>
      <c r="B17" s="174" t="s">
        <v>255</v>
      </c>
      <c r="C17" s="172">
        <v>1</v>
      </c>
      <c r="D17" s="173">
        <v>1</v>
      </c>
      <c r="E17" s="173">
        <v>1</v>
      </c>
      <c r="F17" s="173">
        <v>1</v>
      </c>
      <c r="G17" s="175">
        <v>0</v>
      </c>
      <c r="H17" s="175">
        <v>0</v>
      </c>
      <c r="I17" s="175">
        <v>0</v>
      </c>
      <c r="J17" s="217"/>
    </row>
    <row r="18" spans="1:10" s="162" customFormat="1" ht="18.75" x14ac:dyDescent="0.3">
      <c r="A18" s="172">
        <v>6</v>
      </c>
      <c r="B18" s="174" t="s">
        <v>210</v>
      </c>
      <c r="C18" s="172">
        <v>1</v>
      </c>
      <c r="D18" s="173">
        <v>1</v>
      </c>
      <c r="E18" s="173">
        <v>1</v>
      </c>
      <c r="F18" s="173">
        <v>1</v>
      </c>
      <c r="G18" s="175">
        <v>0</v>
      </c>
      <c r="H18" s="175">
        <v>0</v>
      </c>
      <c r="I18" s="175">
        <v>0</v>
      </c>
      <c r="J18" s="217"/>
    </row>
    <row r="19" spans="1:10" s="162" customFormat="1" ht="18.75" x14ac:dyDescent="0.3">
      <c r="A19" s="172">
        <v>7</v>
      </c>
      <c r="B19" s="174" t="s">
        <v>211</v>
      </c>
      <c r="C19" s="172">
        <v>1</v>
      </c>
      <c r="D19" s="173">
        <v>1</v>
      </c>
      <c r="E19" s="173">
        <v>1</v>
      </c>
      <c r="F19" s="173">
        <v>1</v>
      </c>
      <c r="G19" s="175">
        <v>0</v>
      </c>
      <c r="H19" s="175">
        <v>0</v>
      </c>
      <c r="I19" s="175">
        <v>0</v>
      </c>
      <c r="J19" s="217"/>
    </row>
    <row r="20" spans="1:10" s="162" customFormat="1" ht="18.75" x14ac:dyDescent="0.3">
      <c r="A20" s="172">
        <v>8</v>
      </c>
      <c r="B20" s="174" t="s">
        <v>212</v>
      </c>
      <c r="C20" s="198">
        <v>1</v>
      </c>
      <c r="D20" s="173">
        <v>1</v>
      </c>
      <c r="E20" s="173">
        <v>1</v>
      </c>
      <c r="F20" s="173">
        <v>1</v>
      </c>
      <c r="G20" s="175">
        <v>0</v>
      </c>
      <c r="H20" s="175">
        <v>0</v>
      </c>
      <c r="I20" s="175">
        <v>0</v>
      </c>
      <c r="J20" s="217" t="s">
        <v>67</v>
      </c>
    </row>
    <row r="21" spans="1:10" s="162" customFormat="1" ht="18.75" x14ac:dyDescent="0.3">
      <c r="A21" s="172">
        <v>9</v>
      </c>
      <c r="B21" s="174" t="s">
        <v>213</v>
      </c>
      <c r="C21" s="175" t="s">
        <v>175</v>
      </c>
      <c r="D21" s="173">
        <v>1</v>
      </c>
      <c r="E21" s="173">
        <v>1</v>
      </c>
      <c r="F21" s="173">
        <v>1</v>
      </c>
      <c r="G21" s="175" t="s">
        <v>197</v>
      </c>
      <c r="H21" s="175">
        <v>0</v>
      </c>
      <c r="I21" s="175">
        <v>0</v>
      </c>
      <c r="J21" s="217" t="s">
        <v>174</v>
      </c>
    </row>
    <row r="22" spans="1:10" s="162" customFormat="1" ht="18.75" x14ac:dyDescent="0.3">
      <c r="A22" s="172">
        <v>10</v>
      </c>
      <c r="B22" s="174" t="s">
        <v>214</v>
      </c>
      <c r="C22" s="175" t="s">
        <v>175</v>
      </c>
      <c r="D22" s="173">
        <v>1</v>
      </c>
      <c r="E22" s="173">
        <v>1</v>
      </c>
      <c r="F22" s="173">
        <v>1</v>
      </c>
      <c r="G22" s="175" t="s">
        <v>197</v>
      </c>
      <c r="H22" s="175">
        <v>0</v>
      </c>
      <c r="I22" s="175">
        <v>0</v>
      </c>
      <c r="J22" s="217" t="s">
        <v>174</v>
      </c>
    </row>
    <row r="23" spans="1:10" s="162" customFormat="1" ht="18.75" x14ac:dyDescent="0.3">
      <c r="A23" s="172">
        <v>11</v>
      </c>
      <c r="B23" s="174" t="s">
        <v>215</v>
      </c>
      <c r="C23" s="197">
        <v>1</v>
      </c>
      <c r="D23" s="173">
        <v>1</v>
      </c>
      <c r="E23" s="173">
        <v>1</v>
      </c>
      <c r="F23" s="173">
        <v>1</v>
      </c>
      <c r="G23" s="175">
        <v>0</v>
      </c>
      <c r="H23" s="175">
        <v>0</v>
      </c>
      <c r="I23" s="175">
        <v>0</v>
      </c>
      <c r="J23" s="217" t="s">
        <v>67</v>
      </c>
    </row>
    <row r="24" spans="1:10" s="162" customFormat="1" ht="18.75" x14ac:dyDescent="0.3">
      <c r="A24" s="172">
        <v>12</v>
      </c>
      <c r="B24" s="174" t="s">
        <v>217</v>
      </c>
      <c r="C24" s="172" t="s">
        <v>175</v>
      </c>
      <c r="D24" s="173">
        <v>1</v>
      </c>
      <c r="E24" s="173">
        <v>1</v>
      </c>
      <c r="F24" s="173">
        <v>1</v>
      </c>
      <c r="G24" s="175" t="s">
        <v>197</v>
      </c>
      <c r="H24" s="175">
        <v>0</v>
      </c>
      <c r="I24" s="175">
        <v>0</v>
      </c>
      <c r="J24" s="217" t="s">
        <v>174</v>
      </c>
    </row>
    <row r="25" spans="1:10" s="162" customFormat="1" ht="18.75" x14ac:dyDescent="0.3">
      <c r="A25" s="172">
        <v>13</v>
      </c>
      <c r="B25" s="174" t="s">
        <v>221</v>
      </c>
      <c r="C25" s="197">
        <v>1</v>
      </c>
      <c r="D25" s="173" t="s">
        <v>175</v>
      </c>
      <c r="E25" s="173" t="s">
        <v>175</v>
      </c>
      <c r="F25" s="173" t="s">
        <v>175</v>
      </c>
      <c r="G25" s="175" t="s">
        <v>198</v>
      </c>
      <c r="H25" s="175">
        <v>0</v>
      </c>
      <c r="I25" s="175">
        <v>0</v>
      </c>
      <c r="J25" s="217" t="s">
        <v>216</v>
      </c>
    </row>
    <row r="26" spans="1:10" s="162" customFormat="1" ht="18.75" x14ac:dyDescent="0.3">
      <c r="A26" s="172">
        <v>14</v>
      </c>
      <c r="B26" s="174" t="s">
        <v>222</v>
      </c>
      <c r="C26" s="172">
        <v>1</v>
      </c>
      <c r="D26" s="173">
        <v>1</v>
      </c>
      <c r="E26" s="173">
        <v>1</v>
      </c>
      <c r="F26" s="173">
        <v>1</v>
      </c>
      <c r="G26" s="175">
        <v>0</v>
      </c>
      <c r="H26" s="175">
        <v>0</v>
      </c>
      <c r="I26" s="175">
        <v>0</v>
      </c>
      <c r="J26" s="217"/>
    </row>
    <row r="27" spans="1:10" s="162" customFormat="1" ht="18.75" x14ac:dyDescent="0.3">
      <c r="A27" s="172">
        <v>15</v>
      </c>
      <c r="B27" s="174" t="s">
        <v>223</v>
      </c>
      <c r="C27" s="172">
        <v>1</v>
      </c>
      <c r="D27" s="173">
        <v>1</v>
      </c>
      <c r="E27" s="173">
        <v>1</v>
      </c>
      <c r="F27" s="173">
        <v>1</v>
      </c>
      <c r="G27" s="175">
        <v>0</v>
      </c>
      <c r="H27" s="175">
        <v>0</v>
      </c>
      <c r="I27" s="175">
        <v>0</v>
      </c>
      <c r="J27" s="217"/>
    </row>
    <row r="28" spans="1:10" s="162" customFormat="1" ht="18.75" x14ac:dyDescent="0.3">
      <c r="A28" s="172">
        <v>16</v>
      </c>
      <c r="B28" s="174" t="s">
        <v>223</v>
      </c>
      <c r="C28" s="172">
        <v>1</v>
      </c>
      <c r="D28" s="173">
        <v>1</v>
      </c>
      <c r="E28" s="173">
        <v>1</v>
      </c>
      <c r="F28" s="173">
        <v>1</v>
      </c>
      <c r="G28" s="175">
        <v>0</v>
      </c>
      <c r="H28" s="175">
        <v>0</v>
      </c>
      <c r="I28" s="175">
        <v>0</v>
      </c>
      <c r="J28" s="217"/>
    </row>
    <row r="29" spans="1:10" s="162" customFormat="1" ht="18.75" x14ac:dyDescent="0.3">
      <c r="A29" s="172">
        <v>17</v>
      </c>
      <c r="B29" s="174" t="s">
        <v>223</v>
      </c>
      <c r="C29" s="172">
        <v>1</v>
      </c>
      <c r="D29" s="173">
        <v>1</v>
      </c>
      <c r="E29" s="173">
        <v>1</v>
      </c>
      <c r="F29" s="173">
        <v>1</v>
      </c>
      <c r="G29" s="175">
        <v>0</v>
      </c>
      <c r="H29" s="175">
        <v>0</v>
      </c>
      <c r="I29" s="175">
        <v>0</v>
      </c>
      <c r="J29" s="217"/>
    </row>
    <row r="30" spans="1:10" s="162" customFormat="1" ht="18.75" x14ac:dyDescent="0.3">
      <c r="A30" s="172">
        <v>18</v>
      </c>
      <c r="B30" s="174" t="s">
        <v>56</v>
      </c>
      <c r="C30" s="172">
        <v>1</v>
      </c>
      <c r="D30" s="173">
        <v>1</v>
      </c>
      <c r="E30" s="173">
        <v>1</v>
      </c>
      <c r="F30" s="173">
        <v>1</v>
      </c>
      <c r="G30" s="175">
        <v>0</v>
      </c>
      <c r="H30" s="175">
        <v>0</v>
      </c>
      <c r="I30" s="175">
        <v>0</v>
      </c>
      <c r="J30" s="217"/>
    </row>
    <row r="31" spans="1:10" s="162" customFormat="1" ht="18.75" x14ac:dyDescent="0.3">
      <c r="A31" s="172">
        <v>19</v>
      </c>
      <c r="B31" s="174" t="s">
        <v>56</v>
      </c>
      <c r="C31" s="172">
        <v>1</v>
      </c>
      <c r="D31" s="173">
        <v>1</v>
      </c>
      <c r="E31" s="173">
        <v>1</v>
      </c>
      <c r="F31" s="173">
        <v>1</v>
      </c>
      <c r="G31" s="175">
        <v>0</v>
      </c>
      <c r="H31" s="175">
        <v>0</v>
      </c>
      <c r="I31" s="175">
        <v>0</v>
      </c>
      <c r="J31" s="217"/>
    </row>
    <row r="32" spans="1:10" s="162" customFormat="1" ht="18.75" x14ac:dyDescent="0.3">
      <c r="A32" s="172">
        <v>20</v>
      </c>
      <c r="B32" s="174" t="s">
        <v>56</v>
      </c>
      <c r="C32" s="172">
        <v>1</v>
      </c>
      <c r="D32" s="173">
        <v>1</v>
      </c>
      <c r="E32" s="173">
        <v>1</v>
      </c>
      <c r="F32" s="173">
        <v>1</v>
      </c>
      <c r="G32" s="175">
        <v>0</v>
      </c>
      <c r="H32" s="175">
        <v>0</v>
      </c>
      <c r="I32" s="175">
        <v>0</v>
      </c>
      <c r="J32" s="217"/>
    </row>
    <row r="33" spans="1:10" s="162" customFormat="1" ht="18.75" x14ac:dyDescent="0.3">
      <c r="A33" s="168"/>
      <c r="B33" s="222" t="s">
        <v>12</v>
      </c>
      <c r="C33" s="168"/>
      <c r="D33" s="170"/>
      <c r="E33" s="170"/>
      <c r="F33" s="170"/>
      <c r="G33" s="170"/>
      <c r="H33" s="170"/>
      <c r="I33" s="170"/>
      <c r="J33" s="213"/>
    </row>
    <row r="34" spans="1:10" s="162" customFormat="1" ht="18.75" x14ac:dyDescent="0.3">
      <c r="A34" s="168"/>
      <c r="B34" s="222" t="s">
        <v>41</v>
      </c>
      <c r="C34" s="170"/>
      <c r="D34" s="170"/>
      <c r="E34" s="170"/>
      <c r="F34" s="170"/>
      <c r="G34" s="170"/>
      <c r="H34" s="170"/>
      <c r="I34" s="170"/>
      <c r="J34" s="213"/>
    </row>
    <row r="35" spans="1:10" s="162" customFormat="1" ht="18.75" x14ac:dyDescent="0.3">
      <c r="A35" s="179">
        <v>21</v>
      </c>
      <c r="B35" s="205" t="s">
        <v>51</v>
      </c>
      <c r="C35" s="206">
        <v>1</v>
      </c>
      <c r="D35" s="207">
        <v>1</v>
      </c>
      <c r="E35" s="207">
        <v>1</v>
      </c>
      <c r="F35" s="207">
        <v>1</v>
      </c>
      <c r="G35" s="227">
        <v>0</v>
      </c>
      <c r="H35" s="227">
        <v>0</v>
      </c>
      <c r="I35" s="227">
        <v>0</v>
      </c>
      <c r="J35" s="216"/>
    </row>
    <row r="36" spans="1:10" s="162" customFormat="1" ht="18.75" x14ac:dyDescent="0.3">
      <c r="A36" s="172">
        <v>22</v>
      </c>
      <c r="B36" s="174" t="s">
        <v>50</v>
      </c>
      <c r="C36" s="204">
        <v>1</v>
      </c>
      <c r="D36" s="203">
        <v>1</v>
      </c>
      <c r="E36" s="203">
        <v>1</v>
      </c>
      <c r="F36" s="203">
        <v>1</v>
      </c>
      <c r="G36" s="180">
        <v>0</v>
      </c>
      <c r="H36" s="180">
        <v>0</v>
      </c>
      <c r="I36" s="180">
        <v>0</v>
      </c>
      <c r="J36" s="217"/>
    </row>
    <row r="37" spans="1:10" s="162" customFormat="1" ht="18.75" x14ac:dyDescent="0.3">
      <c r="A37" s="172">
        <v>23</v>
      </c>
      <c r="B37" s="174" t="s">
        <v>50</v>
      </c>
      <c r="C37" s="204">
        <v>1</v>
      </c>
      <c r="D37" s="203">
        <v>1</v>
      </c>
      <c r="E37" s="203">
        <v>1</v>
      </c>
      <c r="F37" s="203">
        <v>1</v>
      </c>
      <c r="G37" s="180">
        <v>0</v>
      </c>
      <c r="H37" s="180">
        <v>0</v>
      </c>
      <c r="I37" s="180">
        <v>0</v>
      </c>
      <c r="J37" s="217"/>
    </row>
    <row r="38" spans="1:10" s="162" customFormat="1" ht="18.75" x14ac:dyDescent="0.3">
      <c r="A38" s="183">
        <v>24</v>
      </c>
      <c r="B38" s="184" t="s">
        <v>50</v>
      </c>
      <c r="C38" s="228">
        <v>1</v>
      </c>
      <c r="D38" s="229">
        <v>1</v>
      </c>
      <c r="E38" s="229">
        <v>1</v>
      </c>
      <c r="F38" s="229">
        <v>1</v>
      </c>
      <c r="G38" s="230">
        <v>0</v>
      </c>
      <c r="H38" s="230">
        <v>0</v>
      </c>
      <c r="I38" s="230">
        <v>0</v>
      </c>
      <c r="J38" s="223"/>
    </row>
    <row r="39" spans="1:10" s="162" customFormat="1" ht="18.75" x14ac:dyDescent="0.3">
      <c r="A39" s="242"/>
      <c r="B39" s="243"/>
      <c r="C39" s="244"/>
      <c r="D39" s="245"/>
      <c r="E39" s="245"/>
      <c r="F39" s="245"/>
      <c r="G39" s="246"/>
      <c r="H39" s="246"/>
      <c r="I39" s="246"/>
      <c r="J39" s="247"/>
    </row>
    <row r="40" spans="1:10" s="162" customFormat="1" ht="18.75" x14ac:dyDescent="0.3">
      <c r="A40" s="242"/>
      <c r="B40" s="243"/>
      <c r="C40" s="244"/>
      <c r="D40" s="245"/>
      <c r="E40" s="245"/>
      <c r="F40" s="245"/>
      <c r="G40" s="246"/>
      <c r="H40" s="246"/>
      <c r="I40" s="246"/>
      <c r="J40" s="247"/>
    </row>
    <row r="41" spans="1:10" s="162" customFormat="1" ht="18.75" x14ac:dyDescent="0.3">
      <c r="A41" s="242"/>
      <c r="B41" s="243"/>
      <c r="C41" s="244"/>
      <c r="D41" s="245"/>
      <c r="E41" s="245"/>
      <c r="F41" s="245"/>
      <c r="G41" s="246"/>
      <c r="H41" s="246"/>
      <c r="I41" s="246"/>
      <c r="J41" s="247"/>
    </row>
    <row r="42" spans="1:10" s="162" customFormat="1" ht="18.75" x14ac:dyDescent="0.3">
      <c r="A42" s="242"/>
      <c r="B42" s="243"/>
      <c r="C42" s="244"/>
      <c r="D42" s="245"/>
      <c r="E42" s="245"/>
      <c r="F42" s="245"/>
      <c r="G42" s="246"/>
      <c r="H42" s="246"/>
      <c r="I42" s="246"/>
      <c r="J42" s="247"/>
    </row>
    <row r="43" spans="1:10" s="209" customFormat="1" ht="18.75" x14ac:dyDescent="0.3">
      <c r="A43" s="291"/>
      <c r="B43" s="251"/>
      <c r="C43" s="252"/>
      <c r="D43" s="253"/>
      <c r="E43" s="253"/>
      <c r="F43" s="253"/>
      <c r="G43" s="254"/>
      <c r="H43" s="254"/>
      <c r="I43" s="254"/>
      <c r="J43" s="255">
        <v>19</v>
      </c>
    </row>
    <row r="44" spans="1:10" s="209" customFormat="1" ht="18.75" x14ac:dyDescent="0.3">
      <c r="A44" s="449" t="s">
        <v>5</v>
      </c>
      <c r="B44" s="449" t="s">
        <v>6</v>
      </c>
      <c r="C44" s="161" t="s">
        <v>218</v>
      </c>
      <c r="D44" s="452" t="s">
        <v>61</v>
      </c>
      <c r="E44" s="453"/>
      <c r="F44" s="454"/>
      <c r="G44" s="455" t="s">
        <v>57</v>
      </c>
      <c r="H44" s="456"/>
      <c r="I44" s="457"/>
      <c r="J44" s="458" t="s">
        <v>201</v>
      </c>
    </row>
    <row r="45" spans="1:10" s="209" customFormat="1" ht="18.75" x14ac:dyDescent="0.3">
      <c r="A45" s="450"/>
      <c r="B45" s="450"/>
      <c r="C45" s="163" t="s">
        <v>219</v>
      </c>
      <c r="D45" s="461" t="s">
        <v>62</v>
      </c>
      <c r="E45" s="462"/>
      <c r="F45" s="463"/>
      <c r="G45" s="461" t="s">
        <v>58</v>
      </c>
      <c r="H45" s="462"/>
      <c r="I45" s="463"/>
      <c r="J45" s="459"/>
    </row>
    <row r="46" spans="1:10" s="209" customFormat="1" ht="18.75" x14ac:dyDescent="0.3">
      <c r="A46" s="451"/>
      <c r="B46" s="451"/>
      <c r="C46" s="164" t="s">
        <v>220</v>
      </c>
      <c r="D46" s="192" t="s">
        <v>236</v>
      </c>
      <c r="E46" s="192" t="s">
        <v>238</v>
      </c>
      <c r="F46" s="192" t="s">
        <v>239</v>
      </c>
      <c r="G46" s="186">
        <v>2558</v>
      </c>
      <c r="H46" s="186">
        <v>2559</v>
      </c>
      <c r="I46" s="186">
        <v>2560</v>
      </c>
      <c r="J46" s="460"/>
    </row>
    <row r="47" spans="1:10" s="209" customFormat="1" ht="18.75" x14ac:dyDescent="0.3">
      <c r="A47" s="290"/>
      <c r="B47" s="178" t="s">
        <v>12</v>
      </c>
      <c r="C47" s="168"/>
      <c r="D47" s="168"/>
      <c r="E47" s="168"/>
      <c r="F47" s="168"/>
      <c r="G47" s="168"/>
      <c r="H47" s="168"/>
      <c r="I47" s="168"/>
      <c r="J47" s="289"/>
    </row>
    <row r="48" spans="1:10" s="209" customFormat="1" ht="18.75" x14ac:dyDescent="0.3">
      <c r="A48" s="290"/>
      <c r="B48" s="222" t="s">
        <v>41</v>
      </c>
      <c r="C48" s="168"/>
      <c r="D48" s="168"/>
      <c r="E48" s="168"/>
      <c r="F48" s="168"/>
      <c r="G48" s="168"/>
      <c r="H48" s="168"/>
      <c r="I48" s="168"/>
      <c r="J48" s="289"/>
    </row>
    <row r="49" spans="1:10" s="162" customFormat="1" ht="18.75" x14ac:dyDescent="0.3">
      <c r="A49" s="179">
        <v>25</v>
      </c>
      <c r="B49" s="205" t="s">
        <v>52</v>
      </c>
      <c r="C49" s="206">
        <v>1</v>
      </c>
      <c r="D49" s="207">
        <v>1</v>
      </c>
      <c r="E49" s="207">
        <v>1</v>
      </c>
      <c r="F49" s="207">
        <v>1</v>
      </c>
      <c r="G49" s="208">
        <v>0</v>
      </c>
      <c r="H49" s="208">
        <v>0</v>
      </c>
      <c r="I49" s="208">
        <v>0</v>
      </c>
      <c r="J49" s="213"/>
    </row>
    <row r="50" spans="1:10" s="162" customFormat="1" ht="18.75" x14ac:dyDescent="0.3">
      <c r="A50" s="172">
        <v>26</v>
      </c>
      <c r="B50" s="174" t="s">
        <v>193</v>
      </c>
      <c r="C50" s="181">
        <v>0</v>
      </c>
      <c r="D50" s="203">
        <v>1</v>
      </c>
      <c r="E50" s="203">
        <v>1</v>
      </c>
      <c r="F50" s="203">
        <v>1</v>
      </c>
      <c r="G50" s="175" t="s">
        <v>197</v>
      </c>
      <c r="H50" s="182">
        <v>0</v>
      </c>
      <c r="I50" s="182">
        <v>0</v>
      </c>
      <c r="J50" s="217" t="s">
        <v>174</v>
      </c>
    </row>
    <row r="51" spans="1:10" s="162" customFormat="1" ht="18.75" x14ac:dyDescent="0.3">
      <c r="A51" s="172">
        <v>27</v>
      </c>
      <c r="B51" s="174" t="s">
        <v>49</v>
      </c>
      <c r="C51" s="204">
        <v>1</v>
      </c>
      <c r="D51" s="203">
        <v>1</v>
      </c>
      <c r="E51" s="203">
        <v>1</v>
      </c>
      <c r="F51" s="203">
        <v>1</v>
      </c>
      <c r="G51" s="182">
        <v>0</v>
      </c>
      <c r="H51" s="182">
        <v>0</v>
      </c>
      <c r="I51" s="182">
        <v>0</v>
      </c>
      <c r="J51" s="217"/>
    </row>
    <row r="52" spans="1:10" s="162" customFormat="1" ht="18.75" x14ac:dyDescent="0.3">
      <c r="A52" s="172">
        <v>28</v>
      </c>
      <c r="B52" s="174" t="s">
        <v>48</v>
      </c>
      <c r="C52" s="203">
        <v>1</v>
      </c>
      <c r="D52" s="203">
        <v>1</v>
      </c>
      <c r="E52" s="203">
        <v>1</v>
      </c>
      <c r="F52" s="203">
        <v>1</v>
      </c>
      <c r="G52" s="182">
        <v>0</v>
      </c>
      <c r="H52" s="182">
        <v>0</v>
      </c>
      <c r="I52" s="182">
        <v>0</v>
      </c>
      <c r="J52" s="217"/>
    </row>
    <row r="53" spans="1:10" s="162" customFormat="1" ht="18.75" x14ac:dyDescent="0.3">
      <c r="A53" s="172">
        <v>29</v>
      </c>
      <c r="B53" s="174" t="s">
        <v>53</v>
      </c>
      <c r="C53" s="203">
        <v>1</v>
      </c>
      <c r="D53" s="203">
        <v>1</v>
      </c>
      <c r="E53" s="203">
        <v>1</v>
      </c>
      <c r="F53" s="203">
        <v>1</v>
      </c>
      <c r="G53" s="182">
        <v>0</v>
      </c>
      <c r="H53" s="182">
        <v>0</v>
      </c>
      <c r="I53" s="182">
        <v>0</v>
      </c>
      <c r="J53" s="217"/>
    </row>
    <row r="54" spans="1:10" s="162" customFormat="1" ht="18.75" x14ac:dyDescent="0.3">
      <c r="A54" s="172">
        <v>30</v>
      </c>
      <c r="B54" s="174" t="s">
        <v>194</v>
      </c>
      <c r="C54" s="182">
        <v>0</v>
      </c>
      <c r="D54" s="182">
        <v>1</v>
      </c>
      <c r="E54" s="182">
        <v>1</v>
      </c>
      <c r="F54" s="182">
        <v>1</v>
      </c>
      <c r="G54" s="175" t="s">
        <v>197</v>
      </c>
      <c r="H54" s="182">
        <v>0</v>
      </c>
      <c r="I54" s="182">
        <v>0</v>
      </c>
      <c r="J54" s="217" t="s">
        <v>174</v>
      </c>
    </row>
    <row r="55" spans="1:10" s="162" customFormat="1" ht="18.75" x14ac:dyDescent="0.3">
      <c r="A55" s="168"/>
      <c r="B55" s="222" t="s">
        <v>38</v>
      </c>
      <c r="C55" s="224"/>
      <c r="D55" s="224"/>
      <c r="E55" s="224"/>
      <c r="F55" s="224"/>
      <c r="G55" s="224"/>
      <c r="H55" s="224"/>
      <c r="I55" s="224"/>
      <c r="J55" s="213"/>
    </row>
    <row r="56" spans="1:10" s="162" customFormat="1" ht="18.75" x14ac:dyDescent="0.3">
      <c r="A56" s="179">
        <v>31</v>
      </c>
      <c r="B56" s="226" t="s">
        <v>46</v>
      </c>
      <c r="C56" s="206">
        <v>1</v>
      </c>
      <c r="D56" s="207">
        <v>1</v>
      </c>
      <c r="E56" s="207">
        <v>1</v>
      </c>
      <c r="F56" s="207">
        <v>1</v>
      </c>
      <c r="G56" s="208">
        <v>0</v>
      </c>
      <c r="H56" s="208">
        <v>0</v>
      </c>
      <c r="I56" s="208">
        <v>0</v>
      </c>
      <c r="J56" s="216"/>
    </row>
    <row r="57" spans="1:10" s="162" customFormat="1" ht="18.75" x14ac:dyDescent="0.3">
      <c r="A57" s="168"/>
      <c r="B57" s="222" t="s">
        <v>36</v>
      </c>
      <c r="C57" s="224"/>
      <c r="D57" s="225"/>
      <c r="E57" s="225"/>
      <c r="F57" s="225"/>
      <c r="G57" s="225"/>
      <c r="H57" s="225"/>
      <c r="I57" s="225"/>
      <c r="J57" s="213"/>
    </row>
    <row r="58" spans="1:10" s="162" customFormat="1" ht="18.75" x14ac:dyDescent="0.3">
      <c r="A58" s="179">
        <v>32</v>
      </c>
      <c r="B58" s="205" t="s">
        <v>47</v>
      </c>
      <c r="C58" s="179">
        <v>1</v>
      </c>
      <c r="D58" s="176">
        <v>1</v>
      </c>
      <c r="E58" s="176">
        <v>1</v>
      </c>
      <c r="F58" s="176">
        <v>1</v>
      </c>
      <c r="G58" s="177">
        <v>0</v>
      </c>
      <c r="H58" s="177">
        <v>0</v>
      </c>
      <c r="I58" s="177">
        <v>0</v>
      </c>
      <c r="J58" s="216"/>
    </row>
    <row r="59" spans="1:10" s="162" customFormat="1" ht="18.75" x14ac:dyDescent="0.3">
      <c r="A59" s="172">
        <v>33</v>
      </c>
      <c r="B59" s="174" t="s">
        <v>47</v>
      </c>
      <c r="C59" s="179">
        <v>1</v>
      </c>
      <c r="D59" s="176">
        <v>1</v>
      </c>
      <c r="E59" s="176">
        <v>1</v>
      </c>
      <c r="F59" s="176">
        <v>1</v>
      </c>
      <c r="G59" s="177">
        <v>0</v>
      </c>
      <c r="H59" s="177">
        <v>0</v>
      </c>
      <c r="I59" s="177">
        <v>0</v>
      </c>
      <c r="J59" s="217"/>
    </row>
    <row r="60" spans="1:10" s="162" customFormat="1" ht="18.75" x14ac:dyDescent="0.3">
      <c r="A60" s="172">
        <v>34</v>
      </c>
      <c r="B60" s="174" t="s">
        <v>46</v>
      </c>
      <c r="C60" s="179">
        <v>1</v>
      </c>
      <c r="D60" s="176">
        <v>1</v>
      </c>
      <c r="E60" s="176">
        <v>1</v>
      </c>
      <c r="F60" s="176">
        <v>1</v>
      </c>
      <c r="G60" s="177">
        <v>0</v>
      </c>
      <c r="H60" s="177">
        <v>0</v>
      </c>
      <c r="I60" s="177">
        <v>0</v>
      </c>
      <c r="J60" s="217"/>
    </row>
    <row r="61" spans="1:10" s="162" customFormat="1" ht="18.75" x14ac:dyDescent="0.3">
      <c r="A61" s="172">
        <v>35</v>
      </c>
      <c r="B61" s="174" t="s">
        <v>45</v>
      </c>
      <c r="C61" s="172">
        <v>1</v>
      </c>
      <c r="D61" s="173">
        <v>1</v>
      </c>
      <c r="E61" s="173">
        <v>1</v>
      </c>
      <c r="F61" s="173">
        <v>1</v>
      </c>
      <c r="G61" s="175">
        <v>0</v>
      </c>
      <c r="H61" s="175">
        <v>0</v>
      </c>
      <c r="I61" s="175">
        <v>0</v>
      </c>
      <c r="J61" s="217"/>
    </row>
    <row r="62" spans="1:10" s="162" customFormat="1" ht="19.5" thickBot="1" x14ac:dyDescent="0.35">
      <c r="A62" s="263">
        <v>36</v>
      </c>
      <c r="B62" s="264" t="s">
        <v>44</v>
      </c>
      <c r="C62" s="263">
        <v>1</v>
      </c>
      <c r="D62" s="265">
        <v>1</v>
      </c>
      <c r="E62" s="265">
        <v>1</v>
      </c>
      <c r="F62" s="265">
        <v>1</v>
      </c>
      <c r="G62" s="266">
        <v>0</v>
      </c>
      <c r="H62" s="266">
        <v>0</v>
      </c>
      <c r="I62" s="266">
        <v>0</v>
      </c>
      <c r="J62" s="267"/>
    </row>
    <row r="63" spans="1:10" s="162" customFormat="1" ht="19.5" thickTop="1" x14ac:dyDescent="0.3">
      <c r="A63" s="168"/>
      <c r="B63" s="222" t="s">
        <v>72</v>
      </c>
      <c r="C63" s="170"/>
      <c r="D63" s="170"/>
      <c r="E63" s="170"/>
      <c r="F63" s="170"/>
      <c r="G63" s="170"/>
      <c r="H63" s="170"/>
      <c r="I63" s="170"/>
      <c r="J63" s="213"/>
    </row>
    <row r="64" spans="1:10" s="162" customFormat="1" ht="18.75" x14ac:dyDescent="0.3">
      <c r="A64" s="179">
        <v>37</v>
      </c>
      <c r="B64" s="205" t="s">
        <v>225</v>
      </c>
      <c r="C64" s="179">
        <v>1</v>
      </c>
      <c r="D64" s="176">
        <v>1</v>
      </c>
      <c r="E64" s="176">
        <v>1</v>
      </c>
      <c r="F64" s="176">
        <v>1</v>
      </c>
      <c r="G64" s="177">
        <v>0</v>
      </c>
      <c r="H64" s="177">
        <v>0</v>
      </c>
      <c r="I64" s="177">
        <v>0</v>
      </c>
      <c r="J64" s="216"/>
    </row>
    <row r="65" spans="1:10" s="162" customFormat="1" ht="18.75" x14ac:dyDescent="0.3">
      <c r="A65" s="172">
        <v>38</v>
      </c>
      <c r="B65" s="174" t="s">
        <v>226</v>
      </c>
      <c r="C65" s="172">
        <v>1</v>
      </c>
      <c r="D65" s="173">
        <v>1</v>
      </c>
      <c r="E65" s="173">
        <v>1</v>
      </c>
      <c r="F65" s="173">
        <v>1</v>
      </c>
      <c r="G65" s="175">
        <v>0</v>
      </c>
      <c r="H65" s="175">
        <v>0</v>
      </c>
      <c r="I65" s="175">
        <v>0</v>
      </c>
      <c r="J65" s="217"/>
    </row>
    <row r="66" spans="1:10" s="162" customFormat="1" ht="18.75" x14ac:dyDescent="0.3">
      <c r="A66" s="172">
        <v>39</v>
      </c>
      <c r="B66" s="174" t="s">
        <v>227</v>
      </c>
      <c r="C66" s="172">
        <v>1</v>
      </c>
      <c r="D66" s="173">
        <v>1</v>
      </c>
      <c r="E66" s="173">
        <v>1</v>
      </c>
      <c r="F66" s="173">
        <v>1</v>
      </c>
      <c r="G66" s="175">
        <v>0</v>
      </c>
      <c r="H66" s="175">
        <v>0</v>
      </c>
      <c r="I66" s="175">
        <v>0</v>
      </c>
      <c r="J66" s="217"/>
    </row>
    <row r="67" spans="1:10" s="162" customFormat="1" ht="18.75" x14ac:dyDescent="0.3">
      <c r="A67" s="172">
        <v>40</v>
      </c>
      <c r="B67" s="174" t="s">
        <v>228</v>
      </c>
      <c r="C67" s="172">
        <v>1</v>
      </c>
      <c r="D67" s="173">
        <v>1</v>
      </c>
      <c r="E67" s="173">
        <v>1</v>
      </c>
      <c r="F67" s="173">
        <v>1</v>
      </c>
      <c r="G67" s="175">
        <v>0</v>
      </c>
      <c r="H67" s="175">
        <v>0</v>
      </c>
      <c r="I67" s="175">
        <v>0</v>
      </c>
      <c r="J67" s="217"/>
    </row>
    <row r="68" spans="1:10" s="162" customFormat="1" ht="18.75" x14ac:dyDescent="0.3">
      <c r="A68" s="172">
        <v>41</v>
      </c>
      <c r="B68" s="187" t="s">
        <v>229</v>
      </c>
      <c r="C68" s="200">
        <v>1</v>
      </c>
      <c r="D68" s="188">
        <v>1</v>
      </c>
      <c r="E68" s="188">
        <v>1</v>
      </c>
      <c r="F68" s="188">
        <v>1</v>
      </c>
      <c r="G68" s="189">
        <v>0</v>
      </c>
      <c r="H68" s="189">
        <v>0</v>
      </c>
      <c r="I68" s="189">
        <v>0</v>
      </c>
      <c r="J68" s="217" t="s">
        <v>67</v>
      </c>
    </row>
    <row r="69" spans="1:10" s="162" customFormat="1" ht="18.75" x14ac:dyDescent="0.3">
      <c r="A69" s="172">
        <v>42</v>
      </c>
      <c r="B69" s="174" t="s">
        <v>230</v>
      </c>
      <c r="C69" s="172">
        <v>1</v>
      </c>
      <c r="D69" s="173">
        <v>1</v>
      </c>
      <c r="E69" s="173">
        <v>1</v>
      </c>
      <c r="F69" s="173">
        <v>1</v>
      </c>
      <c r="G69" s="175">
        <v>0</v>
      </c>
      <c r="H69" s="175">
        <v>0</v>
      </c>
      <c r="I69" s="175">
        <v>0</v>
      </c>
      <c r="J69" s="217"/>
    </row>
    <row r="70" spans="1:10" s="162" customFormat="1" ht="18.75" x14ac:dyDescent="0.3">
      <c r="A70" s="172">
        <v>43</v>
      </c>
      <c r="B70" s="174" t="s">
        <v>231</v>
      </c>
      <c r="C70" s="197">
        <v>1</v>
      </c>
      <c r="D70" s="173">
        <v>1</v>
      </c>
      <c r="E70" s="173">
        <v>1</v>
      </c>
      <c r="F70" s="173">
        <v>1</v>
      </c>
      <c r="G70" s="175">
        <v>0</v>
      </c>
      <c r="H70" s="175">
        <v>0</v>
      </c>
      <c r="I70" s="175">
        <v>0</v>
      </c>
      <c r="J70" s="217" t="s">
        <v>67</v>
      </c>
    </row>
    <row r="71" spans="1:10" s="162" customFormat="1" ht="18.75" x14ac:dyDescent="0.3">
      <c r="A71" s="190"/>
      <c r="B71" s="215" t="s">
        <v>26</v>
      </c>
      <c r="C71" s="188"/>
      <c r="D71" s="188"/>
      <c r="E71" s="188"/>
      <c r="F71" s="188"/>
      <c r="G71" s="188"/>
      <c r="H71" s="188"/>
      <c r="I71" s="188"/>
      <c r="J71" s="218"/>
    </row>
    <row r="72" spans="1:10" s="162" customFormat="1" ht="18.75" x14ac:dyDescent="0.3">
      <c r="A72" s="179">
        <v>44</v>
      </c>
      <c r="B72" s="205" t="s">
        <v>27</v>
      </c>
      <c r="C72" s="176">
        <v>1</v>
      </c>
      <c r="D72" s="176">
        <v>1</v>
      </c>
      <c r="E72" s="176">
        <v>1</v>
      </c>
      <c r="F72" s="176">
        <v>1</v>
      </c>
      <c r="G72" s="177">
        <v>0</v>
      </c>
      <c r="H72" s="177">
        <v>0</v>
      </c>
      <c r="I72" s="177">
        <v>0</v>
      </c>
      <c r="J72" s="216"/>
    </row>
    <row r="73" spans="1:10" s="162" customFormat="1" ht="18.75" x14ac:dyDescent="0.3">
      <c r="A73" s="190"/>
      <c r="B73" s="215" t="s">
        <v>41</v>
      </c>
      <c r="C73" s="188"/>
      <c r="D73" s="188"/>
      <c r="E73" s="188"/>
      <c r="F73" s="188"/>
      <c r="G73" s="189"/>
      <c r="H73" s="189"/>
      <c r="I73" s="189"/>
      <c r="J73" s="218"/>
    </row>
    <row r="74" spans="1:10" s="162" customFormat="1" ht="18.75" x14ac:dyDescent="0.3">
      <c r="A74" s="179">
        <v>45</v>
      </c>
      <c r="B74" s="205" t="s">
        <v>49</v>
      </c>
      <c r="C74" s="176">
        <v>1</v>
      </c>
      <c r="D74" s="176">
        <v>1</v>
      </c>
      <c r="E74" s="176">
        <v>1</v>
      </c>
      <c r="F74" s="176">
        <v>1</v>
      </c>
      <c r="G74" s="177">
        <v>0</v>
      </c>
      <c r="H74" s="177">
        <v>0</v>
      </c>
      <c r="I74" s="177">
        <v>0</v>
      </c>
      <c r="J74" s="216"/>
    </row>
    <row r="75" spans="1:10" s="162" customFormat="1" ht="19.5" thickBot="1" x14ac:dyDescent="0.35">
      <c r="A75" s="168">
        <v>46</v>
      </c>
      <c r="B75" s="169" t="s">
        <v>192</v>
      </c>
      <c r="C75" s="248">
        <v>0</v>
      </c>
      <c r="D75" s="170">
        <v>1</v>
      </c>
      <c r="E75" s="170">
        <v>1</v>
      </c>
      <c r="F75" s="170">
        <v>1</v>
      </c>
      <c r="G75" s="177" t="s">
        <v>197</v>
      </c>
      <c r="H75" s="208">
        <v>0</v>
      </c>
      <c r="I75" s="208">
        <v>0</v>
      </c>
      <c r="J75" s="262" t="s">
        <v>174</v>
      </c>
    </row>
    <row r="76" spans="1:10" s="162" customFormat="1" ht="19.5" thickTop="1" x14ac:dyDescent="0.3">
      <c r="A76" s="210"/>
      <c r="B76" s="211" t="s">
        <v>22</v>
      </c>
      <c r="C76" s="212"/>
      <c r="D76" s="212"/>
      <c r="E76" s="212"/>
      <c r="F76" s="212"/>
      <c r="G76" s="212"/>
      <c r="H76" s="212"/>
      <c r="I76" s="212"/>
      <c r="J76" s="213"/>
    </row>
    <row r="77" spans="1:10" s="162" customFormat="1" ht="18.75" x14ac:dyDescent="0.3">
      <c r="A77" s="179">
        <v>47</v>
      </c>
      <c r="B77" s="205" t="s">
        <v>232</v>
      </c>
      <c r="C77" s="179">
        <v>1</v>
      </c>
      <c r="D77" s="176">
        <v>1</v>
      </c>
      <c r="E77" s="176">
        <v>1</v>
      </c>
      <c r="F77" s="176">
        <v>1</v>
      </c>
      <c r="G77" s="177">
        <v>0</v>
      </c>
      <c r="H77" s="177">
        <v>0</v>
      </c>
      <c r="I77" s="177">
        <v>0</v>
      </c>
      <c r="J77" s="213"/>
    </row>
    <row r="78" spans="1:10" s="162" customFormat="1" ht="18.75" x14ac:dyDescent="0.3">
      <c r="A78" s="172">
        <v>48</v>
      </c>
      <c r="B78" s="174" t="s">
        <v>233</v>
      </c>
      <c r="C78" s="173">
        <v>1</v>
      </c>
      <c r="D78" s="173">
        <v>1</v>
      </c>
      <c r="E78" s="173">
        <v>1</v>
      </c>
      <c r="F78" s="173">
        <v>1</v>
      </c>
      <c r="G78" s="175">
        <v>0</v>
      </c>
      <c r="H78" s="175">
        <v>0</v>
      </c>
      <c r="I78" s="175">
        <v>0</v>
      </c>
      <c r="J78" s="217"/>
    </row>
    <row r="79" spans="1:10" s="162" customFormat="1" ht="18.75" x14ac:dyDescent="0.3">
      <c r="A79" s="172">
        <v>49</v>
      </c>
      <c r="B79" s="174" t="s">
        <v>233</v>
      </c>
      <c r="C79" s="197">
        <v>1</v>
      </c>
      <c r="D79" s="173">
        <v>1</v>
      </c>
      <c r="E79" s="173">
        <v>1</v>
      </c>
      <c r="F79" s="173">
        <v>1</v>
      </c>
      <c r="G79" s="175">
        <v>0</v>
      </c>
      <c r="H79" s="175">
        <v>0</v>
      </c>
      <c r="I79" s="175">
        <v>0</v>
      </c>
      <c r="J79" s="217" t="s">
        <v>67</v>
      </c>
    </row>
    <row r="80" spans="1:10" s="162" customFormat="1" ht="18.75" x14ac:dyDescent="0.3">
      <c r="A80" s="172">
        <v>50</v>
      </c>
      <c r="B80" s="174" t="s">
        <v>234</v>
      </c>
      <c r="C80" s="197">
        <v>1</v>
      </c>
      <c r="D80" s="173">
        <v>1</v>
      </c>
      <c r="E80" s="173">
        <v>1</v>
      </c>
      <c r="F80" s="173">
        <v>1</v>
      </c>
      <c r="G80" s="175">
        <v>0</v>
      </c>
      <c r="H80" s="175">
        <v>0</v>
      </c>
      <c r="I80" s="175">
        <v>0</v>
      </c>
      <c r="J80" s="217" t="s">
        <v>67</v>
      </c>
    </row>
    <row r="81" spans="1:10" s="162" customFormat="1" ht="18.75" x14ac:dyDescent="0.3">
      <c r="A81" s="183">
        <v>51</v>
      </c>
      <c r="B81" s="184" t="s">
        <v>235</v>
      </c>
      <c r="C81" s="219">
        <v>1</v>
      </c>
      <c r="D81" s="220">
        <v>1</v>
      </c>
      <c r="E81" s="220">
        <v>1</v>
      </c>
      <c r="F81" s="220">
        <v>1</v>
      </c>
      <c r="G81" s="185">
        <v>0</v>
      </c>
      <c r="H81" s="185">
        <v>0</v>
      </c>
      <c r="I81" s="185">
        <v>0</v>
      </c>
      <c r="J81" s="223" t="s">
        <v>67</v>
      </c>
    </row>
    <row r="82" spans="1:10" s="162" customFormat="1" ht="18.75" x14ac:dyDescent="0.3">
      <c r="A82" s="242"/>
      <c r="B82" s="243"/>
      <c r="C82" s="259"/>
      <c r="D82" s="260"/>
      <c r="E82" s="260"/>
      <c r="F82" s="260"/>
      <c r="G82" s="261"/>
      <c r="H82" s="261"/>
      <c r="I82" s="261"/>
      <c r="J82" s="247"/>
    </row>
    <row r="83" spans="1:10" s="162" customFormat="1" ht="18.75" x14ac:dyDescent="0.3">
      <c r="A83" s="242"/>
      <c r="B83" s="243"/>
      <c r="C83" s="259"/>
      <c r="D83" s="260"/>
      <c r="E83" s="260"/>
      <c r="F83" s="260"/>
      <c r="G83" s="261"/>
      <c r="H83" s="261"/>
      <c r="I83" s="261"/>
      <c r="J83" s="247"/>
    </row>
    <row r="84" spans="1:10" s="162" customFormat="1" ht="18.75" x14ac:dyDescent="0.3">
      <c r="A84" s="291"/>
      <c r="B84" s="251"/>
      <c r="C84" s="256"/>
      <c r="D84" s="257"/>
      <c r="E84" s="257"/>
      <c r="F84" s="257"/>
      <c r="G84" s="258"/>
      <c r="H84" s="258"/>
      <c r="I84" s="258"/>
      <c r="J84" s="255">
        <v>20</v>
      </c>
    </row>
    <row r="85" spans="1:10" s="162" customFormat="1" ht="18.75" x14ac:dyDescent="0.3">
      <c r="A85" s="449" t="s">
        <v>5</v>
      </c>
      <c r="B85" s="449" t="s">
        <v>6</v>
      </c>
      <c r="C85" s="161" t="s">
        <v>218</v>
      </c>
      <c r="D85" s="452" t="s">
        <v>61</v>
      </c>
      <c r="E85" s="453"/>
      <c r="F85" s="454"/>
      <c r="G85" s="455" t="s">
        <v>57</v>
      </c>
      <c r="H85" s="456"/>
      <c r="I85" s="457"/>
      <c r="J85" s="458" t="s">
        <v>201</v>
      </c>
    </row>
    <row r="86" spans="1:10" s="162" customFormat="1" ht="18.75" x14ac:dyDescent="0.3">
      <c r="A86" s="450"/>
      <c r="B86" s="450"/>
      <c r="C86" s="163" t="s">
        <v>219</v>
      </c>
      <c r="D86" s="461" t="s">
        <v>62</v>
      </c>
      <c r="E86" s="462"/>
      <c r="F86" s="463"/>
      <c r="G86" s="461" t="s">
        <v>58</v>
      </c>
      <c r="H86" s="462"/>
      <c r="I86" s="463"/>
      <c r="J86" s="459"/>
    </row>
    <row r="87" spans="1:10" s="162" customFormat="1" ht="18.75" x14ac:dyDescent="0.3">
      <c r="A87" s="451"/>
      <c r="B87" s="450"/>
      <c r="C87" s="164" t="s">
        <v>220</v>
      </c>
      <c r="D87" s="234" t="s">
        <v>236</v>
      </c>
      <c r="E87" s="192" t="s">
        <v>238</v>
      </c>
      <c r="F87" s="192" t="s">
        <v>239</v>
      </c>
      <c r="G87" s="186">
        <v>2558</v>
      </c>
      <c r="H87" s="186">
        <v>2559</v>
      </c>
      <c r="I87" s="186">
        <v>2560</v>
      </c>
      <c r="J87" s="460"/>
    </row>
    <row r="88" spans="1:10" s="162" customFormat="1" ht="18.75" x14ac:dyDescent="0.3">
      <c r="A88" s="168"/>
      <c r="B88" s="178" t="s">
        <v>22</v>
      </c>
      <c r="C88" s="201"/>
      <c r="D88" s="170"/>
      <c r="E88" s="170"/>
      <c r="F88" s="170"/>
      <c r="G88" s="171"/>
      <c r="H88" s="171"/>
      <c r="I88" s="171"/>
      <c r="J88" s="213"/>
    </row>
    <row r="89" spans="1:10" s="162" customFormat="1" ht="18.75" x14ac:dyDescent="0.3">
      <c r="A89" s="179">
        <v>52</v>
      </c>
      <c r="B89" s="205" t="s">
        <v>222</v>
      </c>
      <c r="C89" s="176">
        <v>1</v>
      </c>
      <c r="D89" s="176">
        <v>1</v>
      </c>
      <c r="E89" s="176">
        <v>1</v>
      </c>
      <c r="F89" s="176">
        <v>1</v>
      </c>
      <c r="G89" s="177">
        <v>0</v>
      </c>
      <c r="H89" s="177">
        <v>0</v>
      </c>
      <c r="I89" s="177">
        <v>0</v>
      </c>
      <c r="J89" s="216"/>
    </row>
    <row r="90" spans="1:10" s="162" customFormat="1" ht="18.75" x14ac:dyDescent="0.3">
      <c r="A90" s="190"/>
      <c r="B90" s="215" t="s">
        <v>41</v>
      </c>
      <c r="C90" s="170"/>
      <c r="D90" s="170"/>
      <c r="E90" s="170"/>
      <c r="F90" s="170"/>
      <c r="G90" s="171"/>
      <c r="H90" s="171"/>
      <c r="I90" s="171"/>
      <c r="J90" s="213"/>
    </row>
    <row r="91" spans="1:10" s="162" customFormat="1" ht="18.75" x14ac:dyDescent="0.3">
      <c r="A91" s="179">
        <v>53</v>
      </c>
      <c r="B91" s="205" t="s">
        <v>40</v>
      </c>
      <c r="C91" s="176">
        <v>1</v>
      </c>
      <c r="D91" s="176">
        <v>1</v>
      </c>
      <c r="E91" s="176">
        <v>1</v>
      </c>
      <c r="F91" s="176">
        <v>1</v>
      </c>
      <c r="G91" s="177">
        <v>0</v>
      </c>
      <c r="H91" s="177">
        <v>0</v>
      </c>
      <c r="I91" s="177">
        <v>0</v>
      </c>
      <c r="J91" s="213"/>
    </row>
    <row r="92" spans="1:10" s="162" customFormat="1" ht="18.75" x14ac:dyDescent="0.3">
      <c r="A92" s="172">
        <v>54</v>
      </c>
      <c r="B92" s="191" t="s">
        <v>39</v>
      </c>
      <c r="C92" s="176">
        <v>1</v>
      </c>
      <c r="D92" s="173">
        <v>1</v>
      </c>
      <c r="E92" s="173">
        <v>1</v>
      </c>
      <c r="F92" s="173">
        <v>1</v>
      </c>
      <c r="G92" s="175">
        <v>0</v>
      </c>
      <c r="H92" s="175">
        <v>0</v>
      </c>
      <c r="I92" s="175">
        <v>0</v>
      </c>
      <c r="J92" s="217"/>
    </row>
    <row r="93" spans="1:10" s="162" customFormat="1" ht="18.75" x14ac:dyDescent="0.3">
      <c r="A93" s="172">
        <v>55</v>
      </c>
      <c r="B93" s="191" t="s">
        <v>172</v>
      </c>
      <c r="C93" s="175">
        <v>0</v>
      </c>
      <c r="D93" s="173">
        <v>1</v>
      </c>
      <c r="E93" s="173">
        <v>1</v>
      </c>
      <c r="F93" s="173">
        <v>1</v>
      </c>
      <c r="G93" s="175" t="s">
        <v>197</v>
      </c>
      <c r="H93" s="182">
        <v>0</v>
      </c>
      <c r="I93" s="182">
        <v>0</v>
      </c>
      <c r="J93" s="217" t="s">
        <v>174</v>
      </c>
    </row>
    <row r="94" spans="1:10" s="162" customFormat="1" ht="18.75" x14ac:dyDescent="0.3">
      <c r="A94" s="190"/>
      <c r="B94" s="215" t="s">
        <v>38</v>
      </c>
      <c r="C94" s="188"/>
      <c r="D94" s="188"/>
      <c r="E94" s="188"/>
      <c r="F94" s="188"/>
      <c r="G94" s="189"/>
      <c r="H94" s="189"/>
      <c r="I94" s="189"/>
      <c r="J94" s="218"/>
    </row>
    <row r="95" spans="1:10" s="162" customFormat="1" ht="18.75" x14ac:dyDescent="0.3">
      <c r="A95" s="168">
        <v>56</v>
      </c>
      <c r="B95" s="169" t="s">
        <v>37</v>
      </c>
      <c r="C95" s="170">
        <v>1</v>
      </c>
      <c r="D95" s="170">
        <v>1</v>
      </c>
      <c r="E95" s="170">
        <v>1</v>
      </c>
      <c r="F95" s="170">
        <v>1</v>
      </c>
      <c r="G95" s="171">
        <v>0</v>
      </c>
      <c r="H95" s="171">
        <v>0</v>
      </c>
      <c r="I95" s="171">
        <v>0</v>
      </c>
      <c r="J95" s="213"/>
    </row>
    <row r="96" spans="1:10" s="162" customFormat="1" ht="18.75" x14ac:dyDescent="0.3">
      <c r="A96" s="172">
        <v>57</v>
      </c>
      <c r="B96" s="174" t="s">
        <v>37</v>
      </c>
      <c r="C96" s="197">
        <v>1</v>
      </c>
      <c r="D96" s="173">
        <v>1</v>
      </c>
      <c r="E96" s="173">
        <v>1</v>
      </c>
      <c r="F96" s="173">
        <v>1</v>
      </c>
      <c r="G96" s="175">
        <v>0</v>
      </c>
      <c r="H96" s="175">
        <v>0</v>
      </c>
      <c r="I96" s="175">
        <v>0</v>
      </c>
      <c r="J96" s="217" t="s">
        <v>67</v>
      </c>
    </row>
    <row r="97" spans="1:15" s="162" customFormat="1" ht="18.75" x14ac:dyDescent="0.3">
      <c r="A97" s="190"/>
      <c r="B97" s="215" t="s">
        <v>36</v>
      </c>
      <c r="C97" s="189"/>
      <c r="D97" s="188"/>
      <c r="E97" s="188"/>
      <c r="F97" s="188"/>
      <c r="G97" s="189"/>
      <c r="H97" s="250"/>
      <c r="I97" s="250"/>
      <c r="J97" s="218"/>
    </row>
    <row r="98" spans="1:15" s="162" customFormat="1" ht="18.75" x14ac:dyDescent="0.3">
      <c r="A98" s="168">
        <v>58</v>
      </c>
      <c r="B98" s="169" t="s">
        <v>35</v>
      </c>
      <c r="C98" s="170">
        <v>1</v>
      </c>
      <c r="D98" s="170">
        <v>1</v>
      </c>
      <c r="E98" s="170">
        <v>1</v>
      </c>
      <c r="F98" s="170">
        <v>1</v>
      </c>
      <c r="G98" s="171">
        <v>0</v>
      </c>
      <c r="H98" s="171">
        <v>0</v>
      </c>
      <c r="I98" s="171">
        <v>0</v>
      </c>
      <c r="J98" s="213"/>
    </row>
    <row r="99" spans="1:15" s="162" customFormat="1" ht="18.75" x14ac:dyDescent="0.3">
      <c r="A99" s="172">
        <v>59</v>
      </c>
      <c r="B99" s="169" t="s">
        <v>35</v>
      </c>
      <c r="C99" s="197">
        <v>1</v>
      </c>
      <c r="D99" s="173">
        <v>1</v>
      </c>
      <c r="E99" s="173">
        <v>1</v>
      </c>
      <c r="F99" s="173">
        <v>1</v>
      </c>
      <c r="G99" s="175">
        <v>0</v>
      </c>
      <c r="H99" s="175">
        <v>0</v>
      </c>
      <c r="I99" s="175">
        <v>0</v>
      </c>
      <c r="J99" s="217"/>
      <c r="O99" s="249"/>
    </row>
    <row r="100" spans="1:15" s="162" customFormat="1" ht="20.25" customHeight="1" x14ac:dyDescent="0.3">
      <c r="A100" s="172">
        <v>60</v>
      </c>
      <c r="B100" s="174" t="s">
        <v>35</v>
      </c>
      <c r="C100" s="175">
        <v>0</v>
      </c>
      <c r="D100" s="173">
        <v>1</v>
      </c>
      <c r="E100" s="173">
        <v>1</v>
      </c>
      <c r="F100" s="173">
        <v>1</v>
      </c>
      <c r="G100" s="175" t="s">
        <v>197</v>
      </c>
      <c r="H100" s="182">
        <v>0</v>
      </c>
      <c r="I100" s="182">
        <v>0</v>
      </c>
      <c r="J100" s="217" t="s">
        <v>174</v>
      </c>
    </row>
    <row r="101" spans="1:15" s="162" customFormat="1" ht="20.25" customHeight="1" x14ac:dyDescent="0.3">
      <c r="A101" s="183">
        <v>61</v>
      </c>
      <c r="B101" s="174" t="s">
        <v>37</v>
      </c>
      <c r="C101" s="175">
        <v>0</v>
      </c>
      <c r="D101" s="173">
        <v>1</v>
      </c>
      <c r="E101" s="173">
        <v>1</v>
      </c>
      <c r="F101" s="173">
        <v>1</v>
      </c>
      <c r="G101" s="175" t="s">
        <v>197</v>
      </c>
      <c r="H101" s="182">
        <v>0</v>
      </c>
      <c r="I101" s="182">
        <v>0</v>
      </c>
      <c r="J101" s="217" t="s">
        <v>174</v>
      </c>
    </row>
    <row r="102" spans="1:15" s="162" customFormat="1" ht="18.75" x14ac:dyDescent="0.3">
      <c r="A102" s="447" t="s">
        <v>28</v>
      </c>
      <c r="B102" s="448"/>
      <c r="C102" s="186">
        <f>SUM(C12:C101)</f>
        <v>52</v>
      </c>
      <c r="D102" s="192">
        <f>SUM(D12:D101)</f>
        <v>60</v>
      </c>
      <c r="E102" s="192">
        <f>SUM(E12:E101)</f>
        <v>60</v>
      </c>
      <c r="F102" s="192">
        <f>SUM(F12:F101)</f>
        <v>60</v>
      </c>
      <c r="G102" s="192" t="s">
        <v>224</v>
      </c>
      <c r="H102" s="202">
        <v>0</v>
      </c>
      <c r="I102" s="202">
        <v>0</v>
      </c>
      <c r="J102" s="214"/>
    </row>
    <row r="103" spans="1:15" s="162" customFormat="1" ht="18.75" x14ac:dyDescent="0.3">
      <c r="A103" s="193"/>
      <c r="B103" s="193"/>
      <c r="C103" s="193"/>
      <c r="D103" s="193"/>
      <c r="E103" s="193"/>
      <c r="F103" s="193"/>
      <c r="G103" s="193"/>
      <c r="H103" s="193"/>
      <c r="I103" s="193"/>
      <c r="J103" s="195"/>
    </row>
    <row r="104" spans="1:15" s="162" customFormat="1" ht="18.75" x14ac:dyDescent="0.3">
      <c r="A104" s="193"/>
      <c r="B104" s="193"/>
      <c r="C104" s="193"/>
      <c r="D104" s="193"/>
      <c r="E104" s="193"/>
      <c r="F104" s="193"/>
      <c r="G104" s="193"/>
      <c r="H104" s="193"/>
      <c r="I104" s="193"/>
      <c r="J104" s="195"/>
    </row>
  </sheetData>
  <mergeCells count="22">
    <mergeCell ref="A9:A11"/>
    <mergeCell ref="B9:B11"/>
    <mergeCell ref="D9:F9"/>
    <mergeCell ref="G9:I9"/>
    <mergeCell ref="J9:J11"/>
    <mergeCell ref="D10:F10"/>
    <mergeCell ref="G10:I10"/>
    <mergeCell ref="J85:J87"/>
    <mergeCell ref="D86:F86"/>
    <mergeCell ref="G86:I86"/>
    <mergeCell ref="A44:A46"/>
    <mergeCell ref="B44:B46"/>
    <mergeCell ref="D44:F44"/>
    <mergeCell ref="G44:I44"/>
    <mergeCell ref="J44:J46"/>
    <mergeCell ref="D45:F45"/>
    <mergeCell ref="G45:I45"/>
    <mergeCell ref="A102:B102"/>
    <mergeCell ref="A85:A87"/>
    <mergeCell ref="B85:B87"/>
    <mergeCell ref="D85:F85"/>
    <mergeCell ref="G85:I85"/>
  </mergeCells>
  <pageMargins left="0.51181102362204722" right="0.31496062992125984" top="0.35433070866141736" bottom="0.15748031496062992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M131"/>
  <sheetViews>
    <sheetView topLeftCell="A79" zoomScale="120" zoomScaleNormal="120" workbookViewId="0">
      <selection activeCell="J96" sqref="J96"/>
    </sheetView>
  </sheetViews>
  <sheetFormatPr defaultRowHeight="15" x14ac:dyDescent="0.25"/>
  <cols>
    <col min="1" max="1" width="2.75" style="155" customWidth="1"/>
    <col min="2" max="2" width="18.625" style="100" customWidth="1"/>
    <col min="3" max="3" width="6.625" style="100" customWidth="1"/>
    <col min="4" max="4" width="9.375" style="100" customWidth="1"/>
    <col min="5" max="5" width="16.5" style="100" customWidth="1"/>
    <col min="6" max="6" width="5.25" style="100" customWidth="1"/>
    <col min="7" max="7" width="9.25" style="100" customWidth="1"/>
    <col min="8" max="8" width="17.25" style="100" customWidth="1"/>
    <col min="9" max="9" width="5.375" style="100" customWidth="1"/>
    <col min="10" max="10" width="9.375" style="100" bestFit="1" customWidth="1"/>
    <col min="11" max="11" width="10.375" style="100" customWidth="1"/>
    <col min="12" max="12" width="9.5" style="100" customWidth="1"/>
    <col min="13" max="13" width="7.875" style="100" customWidth="1"/>
    <col min="14" max="16384" width="9" style="100"/>
  </cols>
  <sheetData>
    <row r="1" spans="1:13" ht="18.75" x14ac:dyDescent="0.3">
      <c r="A1" s="474" t="s">
        <v>246</v>
      </c>
      <c r="B1" s="474"/>
      <c r="C1" s="474"/>
      <c r="D1" s="474"/>
      <c r="E1" s="474"/>
      <c r="F1" s="474"/>
      <c r="G1" s="474"/>
      <c r="H1" s="474"/>
      <c r="I1" s="474"/>
      <c r="J1" s="474"/>
      <c r="K1" s="474"/>
      <c r="L1" s="474"/>
      <c r="M1" s="474"/>
    </row>
    <row r="2" spans="1:13" ht="18.75" x14ac:dyDescent="0.3">
      <c r="A2" s="474" t="s">
        <v>245</v>
      </c>
      <c r="B2" s="474"/>
      <c r="C2" s="474"/>
      <c r="D2" s="474"/>
      <c r="E2" s="474"/>
      <c r="F2" s="474"/>
      <c r="G2" s="474"/>
      <c r="H2" s="474"/>
      <c r="I2" s="474"/>
      <c r="J2" s="474"/>
      <c r="K2" s="474"/>
      <c r="L2" s="474"/>
      <c r="M2" s="474"/>
    </row>
    <row r="4" spans="1:13" x14ac:dyDescent="0.25">
      <c r="A4" s="464" t="s">
        <v>5</v>
      </c>
      <c r="B4" s="464" t="s">
        <v>73</v>
      </c>
      <c r="C4" s="102" t="s">
        <v>74</v>
      </c>
      <c r="D4" s="467" t="s">
        <v>77</v>
      </c>
      <c r="E4" s="468"/>
      <c r="F4" s="468"/>
      <c r="G4" s="467" t="s">
        <v>78</v>
      </c>
      <c r="H4" s="468"/>
      <c r="I4" s="469"/>
      <c r="J4" s="470" t="s">
        <v>79</v>
      </c>
      <c r="K4" s="471"/>
      <c r="L4" s="472"/>
      <c r="M4" s="103"/>
    </row>
    <row r="5" spans="1:13" x14ac:dyDescent="0.25">
      <c r="A5" s="466"/>
      <c r="B5" s="466"/>
      <c r="C5" s="104" t="s">
        <v>75</v>
      </c>
      <c r="D5" s="464" t="s">
        <v>76</v>
      </c>
      <c r="E5" s="464" t="s">
        <v>9</v>
      </c>
      <c r="F5" s="464" t="s">
        <v>7</v>
      </c>
      <c r="G5" s="464" t="s">
        <v>76</v>
      </c>
      <c r="H5" s="464" t="s">
        <v>9</v>
      </c>
      <c r="I5" s="464" t="s">
        <v>7</v>
      </c>
      <c r="J5" s="464" t="s">
        <v>79</v>
      </c>
      <c r="K5" s="464" t="s">
        <v>80</v>
      </c>
      <c r="L5" s="102" t="s">
        <v>81</v>
      </c>
      <c r="M5" s="284" t="s">
        <v>59</v>
      </c>
    </row>
    <row r="6" spans="1:13" x14ac:dyDescent="0.25">
      <c r="A6" s="465"/>
      <c r="B6" s="465"/>
      <c r="C6" s="105"/>
      <c r="D6" s="465"/>
      <c r="E6" s="465"/>
      <c r="F6" s="465"/>
      <c r="G6" s="465"/>
      <c r="H6" s="465"/>
      <c r="I6" s="465"/>
      <c r="J6" s="465"/>
      <c r="K6" s="465"/>
      <c r="L6" s="106" t="s">
        <v>82</v>
      </c>
      <c r="M6" s="107"/>
    </row>
    <row r="7" spans="1:13" x14ac:dyDescent="0.25">
      <c r="A7" s="102">
        <v>1</v>
      </c>
      <c r="B7" s="103" t="s">
        <v>83</v>
      </c>
      <c r="C7" s="103" t="s">
        <v>87</v>
      </c>
      <c r="D7" s="103" t="s">
        <v>84</v>
      </c>
      <c r="E7" s="103" t="s">
        <v>85</v>
      </c>
      <c r="F7" s="102">
        <v>8</v>
      </c>
      <c r="G7" s="103" t="s">
        <v>84</v>
      </c>
      <c r="H7" s="103" t="s">
        <v>85</v>
      </c>
      <c r="I7" s="102">
        <v>8</v>
      </c>
      <c r="J7" s="108">
        <f>29510*12</f>
        <v>354120</v>
      </c>
      <c r="K7" s="108">
        <f>5600*12</f>
        <v>67200</v>
      </c>
      <c r="L7" s="108">
        <f>5600*12</f>
        <v>67200</v>
      </c>
      <c r="M7" s="109">
        <f>SUM(J7:L7)</f>
        <v>488520</v>
      </c>
    </row>
    <row r="8" spans="1:13" x14ac:dyDescent="0.25">
      <c r="A8" s="104"/>
      <c r="B8" s="110"/>
      <c r="C8" s="110"/>
      <c r="D8" s="110"/>
      <c r="E8" s="110" t="s">
        <v>86</v>
      </c>
      <c r="F8" s="104"/>
      <c r="G8" s="110"/>
      <c r="H8" s="110" t="s">
        <v>86</v>
      </c>
      <c r="I8" s="104"/>
      <c r="J8" s="111"/>
      <c r="K8" s="111"/>
      <c r="L8" s="111"/>
      <c r="M8" s="110"/>
    </row>
    <row r="9" spans="1:13" x14ac:dyDescent="0.25">
      <c r="A9" s="113">
        <v>2</v>
      </c>
      <c r="B9" s="112" t="s">
        <v>88</v>
      </c>
      <c r="C9" s="112" t="s">
        <v>87</v>
      </c>
      <c r="D9" s="112" t="s">
        <v>89</v>
      </c>
      <c r="E9" s="112" t="s">
        <v>85</v>
      </c>
      <c r="F9" s="113">
        <v>6</v>
      </c>
      <c r="G9" s="112" t="s">
        <v>89</v>
      </c>
      <c r="H9" s="112" t="s">
        <v>85</v>
      </c>
      <c r="I9" s="113">
        <v>6</v>
      </c>
      <c r="J9" s="114">
        <f>21620*12</f>
        <v>259440</v>
      </c>
      <c r="K9" s="114">
        <f>3500*12</f>
        <v>42000</v>
      </c>
      <c r="L9" s="114">
        <v>0</v>
      </c>
      <c r="M9" s="115">
        <f>SUM(J9:L9)</f>
        <v>301440</v>
      </c>
    </row>
    <row r="10" spans="1:13" ht="15.75" thickBot="1" x14ac:dyDescent="0.3">
      <c r="A10" s="117"/>
      <c r="B10" s="116"/>
      <c r="C10" s="116"/>
      <c r="D10" s="116"/>
      <c r="E10" s="116" t="s">
        <v>90</v>
      </c>
      <c r="F10" s="117"/>
      <c r="G10" s="116"/>
      <c r="H10" s="116" t="s">
        <v>90</v>
      </c>
      <c r="I10" s="117"/>
      <c r="J10" s="118"/>
      <c r="K10" s="118"/>
      <c r="L10" s="118"/>
      <c r="M10" s="116"/>
    </row>
    <row r="11" spans="1:13" x14ac:dyDescent="0.25">
      <c r="A11" s="104"/>
      <c r="B11" s="119" t="s">
        <v>186</v>
      </c>
      <c r="C11" s="110"/>
      <c r="D11" s="110"/>
      <c r="E11" s="110"/>
      <c r="F11" s="104"/>
      <c r="G11" s="110"/>
      <c r="H11" s="110"/>
      <c r="I11" s="104"/>
      <c r="J11" s="111"/>
      <c r="K11" s="111"/>
      <c r="L11" s="111"/>
      <c r="M11" s="110"/>
    </row>
    <row r="12" spans="1:13" x14ac:dyDescent="0.25">
      <c r="A12" s="104"/>
      <c r="B12" s="119" t="s">
        <v>187</v>
      </c>
      <c r="C12" s="110"/>
      <c r="D12" s="110"/>
      <c r="E12" s="110"/>
      <c r="F12" s="104"/>
      <c r="G12" s="110"/>
      <c r="H12" s="110"/>
      <c r="I12" s="104"/>
      <c r="J12" s="111"/>
      <c r="K12" s="111"/>
      <c r="L12" s="111"/>
      <c r="M12" s="110"/>
    </row>
    <row r="13" spans="1:13" x14ac:dyDescent="0.25">
      <c r="A13" s="104">
        <v>3</v>
      </c>
      <c r="B13" s="110" t="s">
        <v>91</v>
      </c>
      <c r="C13" s="110" t="s">
        <v>87</v>
      </c>
      <c r="D13" s="110" t="s">
        <v>92</v>
      </c>
      <c r="E13" s="110" t="s">
        <v>93</v>
      </c>
      <c r="F13" s="104">
        <v>7</v>
      </c>
      <c r="G13" s="110" t="s">
        <v>92</v>
      </c>
      <c r="H13" s="110" t="s">
        <v>93</v>
      </c>
      <c r="I13" s="104">
        <v>7</v>
      </c>
      <c r="J13" s="111">
        <f>26980*12</f>
        <v>323760</v>
      </c>
      <c r="K13" s="111">
        <f>3500*12</f>
        <v>42000</v>
      </c>
      <c r="L13" s="111">
        <v>0</v>
      </c>
      <c r="M13" s="120">
        <f>SUM(J13:L14)</f>
        <v>365760</v>
      </c>
    </row>
    <row r="14" spans="1:13" x14ac:dyDescent="0.25">
      <c r="A14" s="104"/>
      <c r="B14" s="110"/>
      <c r="C14" s="110"/>
      <c r="D14" s="110"/>
      <c r="E14" s="110" t="s">
        <v>94</v>
      </c>
      <c r="F14" s="104"/>
      <c r="G14" s="110"/>
      <c r="H14" s="110" t="s">
        <v>94</v>
      </c>
      <c r="I14" s="104"/>
      <c r="J14" s="111"/>
      <c r="K14" s="111"/>
      <c r="L14" s="111"/>
      <c r="M14" s="110"/>
    </row>
    <row r="15" spans="1:13" x14ac:dyDescent="0.25">
      <c r="A15" s="122">
        <v>4</v>
      </c>
      <c r="B15" s="121" t="s">
        <v>98</v>
      </c>
      <c r="C15" s="121" t="s">
        <v>96</v>
      </c>
      <c r="D15" s="121" t="s">
        <v>97</v>
      </c>
      <c r="E15" s="121" t="s">
        <v>95</v>
      </c>
      <c r="F15" s="122">
        <v>5</v>
      </c>
      <c r="G15" s="121" t="s">
        <v>97</v>
      </c>
      <c r="H15" s="121" t="s">
        <v>95</v>
      </c>
      <c r="I15" s="122">
        <v>5</v>
      </c>
      <c r="J15" s="123">
        <f>18230*12</f>
        <v>218760</v>
      </c>
      <c r="K15" s="123">
        <v>0</v>
      </c>
      <c r="L15" s="123">
        <v>0</v>
      </c>
      <c r="M15" s="122"/>
    </row>
    <row r="16" spans="1:13" x14ac:dyDescent="0.25">
      <c r="A16" s="122">
        <v>5</v>
      </c>
      <c r="B16" s="121" t="s">
        <v>99</v>
      </c>
      <c r="C16" s="121" t="s">
        <v>96</v>
      </c>
      <c r="D16" s="121" t="s">
        <v>100</v>
      </c>
      <c r="E16" s="121" t="s">
        <v>16</v>
      </c>
      <c r="F16" s="122" t="s">
        <v>65</v>
      </c>
      <c r="G16" s="121" t="s">
        <v>100</v>
      </c>
      <c r="H16" s="121" t="s">
        <v>16</v>
      </c>
      <c r="I16" s="122" t="s">
        <v>65</v>
      </c>
      <c r="J16" s="123">
        <f>19200*12</f>
        <v>230400</v>
      </c>
      <c r="K16" s="123">
        <v>0</v>
      </c>
      <c r="L16" s="123">
        <v>0</v>
      </c>
      <c r="M16" s="122"/>
    </row>
    <row r="17" spans="1:13" x14ac:dyDescent="0.25">
      <c r="A17" s="122">
        <v>6</v>
      </c>
      <c r="B17" s="121" t="s">
        <v>103</v>
      </c>
      <c r="C17" s="121" t="s">
        <v>96</v>
      </c>
      <c r="D17" s="121" t="s">
        <v>104</v>
      </c>
      <c r="E17" s="121" t="s">
        <v>105</v>
      </c>
      <c r="F17" s="122">
        <v>4</v>
      </c>
      <c r="G17" s="121" t="s">
        <v>104</v>
      </c>
      <c r="H17" s="121" t="s">
        <v>105</v>
      </c>
      <c r="I17" s="122">
        <v>4</v>
      </c>
      <c r="J17" s="123">
        <f>18190*12</f>
        <v>218280</v>
      </c>
      <c r="K17" s="123">
        <v>0</v>
      </c>
      <c r="L17" s="123">
        <v>0</v>
      </c>
      <c r="M17" s="122"/>
    </row>
    <row r="18" spans="1:13" x14ac:dyDescent="0.25">
      <c r="A18" s="122">
        <v>7</v>
      </c>
      <c r="B18" s="121" t="s">
        <v>101</v>
      </c>
      <c r="C18" s="121" t="s">
        <v>87</v>
      </c>
      <c r="D18" s="121" t="s">
        <v>102</v>
      </c>
      <c r="E18" s="121" t="s">
        <v>17</v>
      </c>
      <c r="F18" s="122" t="s">
        <v>65</v>
      </c>
      <c r="G18" s="121" t="s">
        <v>102</v>
      </c>
      <c r="H18" s="121" t="s">
        <v>17</v>
      </c>
      <c r="I18" s="122" t="s">
        <v>65</v>
      </c>
      <c r="J18" s="123">
        <f>23370*12</f>
        <v>280440</v>
      </c>
      <c r="K18" s="123">
        <v>0</v>
      </c>
      <c r="L18" s="123">
        <v>0</v>
      </c>
      <c r="M18" s="122"/>
    </row>
    <row r="19" spans="1:13" x14ac:dyDescent="0.25">
      <c r="A19" s="122">
        <v>8</v>
      </c>
      <c r="B19" s="122" t="s">
        <v>188</v>
      </c>
      <c r="C19" s="121"/>
      <c r="D19" s="121" t="s">
        <v>106</v>
      </c>
      <c r="E19" s="121" t="s">
        <v>107</v>
      </c>
      <c r="F19" s="122" t="s">
        <v>66</v>
      </c>
      <c r="G19" s="121" t="s">
        <v>106</v>
      </c>
      <c r="H19" s="121" t="s">
        <v>107</v>
      </c>
      <c r="I19" s="122" t="s">
        <v>66</v>
      </c>
      <c r="J19" s="124">
        <f>(7140+33310)/2*12</f>
        <v>242700</v>
      </c>
      <c r="K19" s="123">
        <v>0</v>
      </c>
      <c r="L19" s="123">
        <v>0</v>
      </c>
      <c r="M19" s="122" t="s">
        <v>67</v>
      </c>
    </row>
    <row r="20" spans="1:13" x14ac:dyDescent="0.25">
      <c r="A20" s="122">
        <v>9</v>
      </c>
      <c r="B20" s="121"/>
      <c r="C20" s="121"/>
      <c r="D20" s="122" t="s">
        <v>175</v>
      </c>
      <c r="E20" s="122" t="s">
        <v>175</v>
      </c>
      <c r="F20" s="122" t="s">
        <v>175</v>
      </c>
      <c r="G20" s="121" t="s">
        <v>182</v>
      </c>
      <c r="H20" s="121" t="s">
        <v>179</v>
      </c>
      <c r="I20" s="122" t="s">
        <v>66</v>
      </c>
      <c r="J20" s="124">
        <v>0</v>
      </c>
      <c r="K20" s="123">
        <v>0</v>
      </c>
      <c r="L20" s="123">
        <v>0</v>
      </c>
      <c r="M20" s="122" t="s">
        <v>174</v>
      </c>
    </row>
    <row r="21" spans="1:13" x14ac:dyDescent="0.25">
      <c r="A21" s="122">
        <v>10</v>
      </c>
      <c r="B21" s="121"/>
      <c r="C21" s="121"/>
      <c r="D21" s="122" t="s">
        <v>175</v>
      </c>
      <c r="E21" s="122" t="s">
        <v>175</v>
      </c>
      <c r="F21" s="122" t="s">
        <v>175</v>
      </c>
      <c r="G21" s="121" t="s">
        <v>181</v>
      </c>
      <c r="H21" s="121" t="s">
        <v>180</v>
      </c>
      <c r="I21" s="122" t="s">
        <v>66</v>
      </c>
      <c r="J21" s="124">
        <v>0</v>
      </c>
      <c r="K21" s="123">
        <v>0</v>
      </c>
      <c r="L21" s="123">
        <v>0</v>
      </c>
      <c r="M21" s="122" t="s">
        <v>174</v>
      </c>
    </row>
    <row r="22" spans="1:13" x14ac:dyDescent="0.25">
      <c r="A22" s="122">
        <v>11</v>
      </c>
      <c r="B22" s="122" t="s">
        <v>188</v>
      </c>
      <c r="C22" s="121"/>
      <c r="D22" s="121" t="s">
        <v>108</v>
      </c>
      <c r="E22" s="121" t="s">
        <v>109</v>
      </c>
      <c r="F22" s="125" t="s">
        <v>110</v>
      </c>
      <c r="G22" s="121" t="s">
        <v>108</v>
      </c>
      <c r="H22" s="121" t="s">
        <v>109</v>
      </c>
      <c r="I22" s="125" t="s">
        <v>110</v>
      </c>
      <c r="J22" s="124">
        <f>(5810+27350)/2*12</f>
        <v>198960</v>
      </c>
      <c r="K22" s="123">
        <v>0</v>
      </c>
      <c r="L22" s="123">
        <v>0</v>
      </c>
      <c r="M22" s="122" t="s">
        <v>67</v>
      </c>
    </row>
    <row r="23" spans="1:13" x14ac:dyDescent="0.25">
      <c r="A23" s="122">
        <v>12</v>
      </c>
      <c r="B23" s="122" t="s">
        <v>4</v>
      </c>
      <c r="C23" s="121"/>
      <c r="D23" s="122" t="s">
        <v>175</v>
      </c>
      <c r="E23" s="122" t="s">
        <v>175</v>
      </c>
      <c r="F23" s="126" t="s">
        <v>110</v>
      </c>
      <c r="G23" s="122" t="s">
        <v>244</v>
      </c>
      <c r="H23" s="121" t="s">
        <v>243</v>
      </c>
      <c r="I23" s="125" t="s">
        <v>110</v>
      </c>
      <c r="J23" s="124">
        <v>0</v>
      </c>
      <c r="K23" s="123">
        <v>0</v>
      </c>
      <c r="L23" s="123">
        <v>0</v>
      </c>
      <c r="M23" s="122" t="s">
        <v>174</v>
      </c>
    </row>
    <row r="24" spans="1:13" x14ac:dyDescent="0.25">
      <c r="A24" s="122">
        <v>13</v>
      </c>
      <c r="B24" s="121" t="s">
        <v>183</v>
      </c>
      <c r="C24" s="121" t="s">
        <v>162</v>
      </c>
      <c r="D24" s="121" t="s">
        <v>112</v>
      </c>
      <c r="E24" s="121" t="s">
        <v>13</v>
      </c>
      <c r="F24" s="126" t="s">
        <v>111</v>
      </c>
      <c r="G24" s="121" t="s">
        <v>112</v>
      </c>
      <c r="H24" s="121" t="s">
        <v>13</v>
      </c>
      <c r="I24" s="126">
        <v>1</v>
      </c>
      <c r="J24" s="124">
        <f>10370*12</f>
        <v>124440</v>
      </c>
      <c r="K24" s="123">
        <v>0</v>
      </c>
      <c r="L24" s="123">
        <v>0</v>
      </c>
      <c r="M24" s="122"/>
    </row>
    <row r="25" spans="1:13" x14ac:dyDescent="0.25">
      <c r="A25" s="122">
        <v>14</v>
      </c>
      <c r="B25" s="121" t="s">
        <v>113</v>
      </c>
      <c r="C25" s="121" t="s">
        <v>184</v>
      </c>
      <c r="D25" s="121" t="s">
        <v>122</v>
      </c>
      <c r="E25" s="121" t="s">
        <v>55</v>
      </c>
      <c r="F25" s="122" t="s">
        <v>175</v>
      </c>
      <c r="G25" s="121" t="s">
        <v>122</v>
      </c>
      <c r="H25" s="121" t="s">
        <v>55</v>
      </c>
      <c r="I25" s="122" t="s">
        <v>175</v>
      </c>
      <c r="J25" s="124">
        <v>0</v>
      </c>
      <c r="K25" s="124">
        <v>0</v>
      </c>
      <c r="L25" s="124">
        <v>0</v>
      </c>
      <c r="M25" s="122"/>
    </row>
    <row r="26" spans="1:13" x14ac:dyDescent="0.25">
      <c r="A26" s="122">
        <v>15</v>
      </c>
      <c r="B26" s="121" t="s">
        <v>114</v>
      </c>
      <c r="C26" s="121" t="s">
        <v>184</v>
      </c>
      <c r="D26" s="121" t="s">
        <v>123</v>
      </c>
      <c r="E26" s="121" t="s">
        <v>55</v>
      </c>
      <c r="F26" s="122" t="s">
        <v>175</v>
      </c>
      <c r="G26" s="121" t="s">
        <v>123</v>
      </c>
      <c r="H26" s="121" t="s">
        <v>55</v>
      </c>
      <c r="I26" s="122" t="s">
        <v>175</v>
      </c>
      <c r="J26" s="124">
        <v>0</v>
      </c>
      <c r="K26" s="124">
        <v>0</v>
      </c>
      <c r="L26" s="124">
        <v>0</v>
      </c>
      <c r="M26" s="122"/>
    </row>
    <row r="27" spans="1:13" x14ac:dyDescent="0.25">
      <c r="A27" s="122">
        <v>16</v>
      </c>
      <c r="B27" s="121" t="s">
        <v>115</v>
      </c>
      <c r="C27" s="121" t="s">
        <v>184</v>
      </c>
      <c r="D27" s="121" t="s">
        <v>124</v>
      </c>
      <c r="E27" s="121" t="s">
        <v>55</v>
      </c>
      <c r="F27" s="122" t="s">
        <v>175</v>
      </c>
      <c r="G27" s="121" t="s">
        <v>124</v>
      </c>
      <c r="H27" s="121" t="s">
        <v>55</v>
      </c>
      <c r="I27" s="122" t="s">
        <v>175</v>
      </c>
      <c r="J27" s="124">
        <v>0</v>
      </c>
      <c r="K27" s="124">
        <v>0</v>
      </c>
      <c r="L27" s="124">
        <v>0</v>
      </c>
      <c r="M27" s="122"/>
    </row>
    <row r="28" spans="1:13" x14ac:dyDescent="0.25">
      <c r="A28" s="122">
        <v>17</v>
      </c>
      <c r="B28" s="121" t="s">
        <v>116</v>
      </c>
      <c r="C28" s="121" t="s">
        <v>184</v>
      </c>
      <c r="D28" s="121" t="s">
        <v>119</v>
      </c>
      <c r="E28" s="121" t="s">
        <v>56</v>
      </c>
      <c r="F28" s="122" t="s">
        <v>175</v>
      </c>
      <c r="G28" s="121" t="s">
        <v>119</v>
      </c>
      <c r="H28" s="121" t="s">
        <v>56</v>
      </c>
      <c r="I28" s="122" t="s">
        <v>175</v>
      </c>
      <c r="J28" s="124">
        <v>0</v>
      </c>
      <c r="K28" s="124">
        <v>0</v>
      </c>
      <c r="L28" s="124">
        <v>0</v>
      </c>
      <c r="M28" s="122"/>
    </row>
    <row r="29" spans="1:13" x14ac:dyDescent="0.25">
      <c r="A29" s="122">
        <v>18</v>
      </c>
      <c r="B29" s="121" t="s">
        <v>117</v>
      </c>
      <c r="C29" s="121" t="s">
        <v>184</v>
      </c>
      <c r="D29" s="121" t="s">
        <v>120</v>
      </c>
      <c r="E29" s="121" t="s">
        <v>56</v>
      </c>
      <c r="F29" s="122" t="s">
        <v>175</v>
      </c>
      <c r="G29" s="121" t="s">
        <v>120</v>
      </c>
      <c r="H29" s="121" t="s">
        <v>56</v>
      </c>
      <c r="I29" s="122" t="s">
        <v>175</v>
      </c>
      <c r="J29" s="124">
        <v>0</v>
      </c>
      <c r="K29" s="124">
        <v>0</v>
      </c>
      <c r="L29" s="124">
        <v>0</v>
      </c>
      <c r="M29" s="122"/>
    </row>
    <row r="30" spans="1:13" x14ac:dyDescent="0.25">
      <c r="A30" s="122">
        <v>19</v>
      </c>
      <c r="B30" s="127" t="s">
        <v>118</v>
      </c>
      <c r="C30" s="127" t="s">
        <v>184</v>
      </c>
      <c r="D30" s="127" t="s">
        <v>121</v>
      </c>
      <c r="E30" s="127" t="s">
        <v>56</v>
      </c>
      <c r="F30" s="140" t="s">
        <v>175</v>
      </c>
      <c r="G30" s="127" t="s">
        <v>121</v>
      </c>
      <c r="H30" s="127" t="s">
        <v>56</v>
      </c>
      <c r="I30" s="140" t="s">
        <v>175</v>
      </c>
      <c r="J30" s="154">
        <v>0</v>
      </c>
      <c r="K30" s="154">
        <v>0</v>
      </c>
      <c r="L30" s="154">
        <v>0</v>
      </c>
      <c r="M30" s="140"/>
    </row>
    <row r="31" spans="1:13" ht="9" customHeight="1" x14ac:dyDescent="0.25">
      <c r="A31" s="285"/>
      <c r="B31" s="156"/>
      <c r="C31" s="156"/>
      <c r="D31" s="156"/>
      <c r="E31" s="156"/>
      <c r="F31" s="285"/>
      <c r="G31" s="156"/>
      <c r="H31" s="156"/>
      <c r="I31" s="285"/>
      <c r="J31" s="157"/>
      <c r="K31" s="157"/>
      <c r="L31" s="157"/>
      <c r="M31" s="235"/>
    </row>
    <row r="32" spans="1:13" x14ac:dyDescent="0.25">
      <c r="A32" s="281"/>
      <c r="B32" s="281"/>
      <c r="C32" s="281"/>
      <c r="D32" s="281"/>
      <c r="E32" s="281"/>
      <c r="F32" s="281"/>
      <c r="G32" s="281"/>
      <c r="H32" s="281"/>
      <c r="I32" s="281"/>
      <c r="J32" s="281"/>
      <c r="K32" s="281"/>
      <c r="L32" s="281"/>
      <c r="M32" s="237"/>
    </row>
    <row r="33" spans="1:13" x14ac:dyDescent="0.25">
      <c r="A33" s="281"/>
      <c r="B33" s="281"/>
      <c r="C33" s="281"/>
      <c r="D33" s="281"/>
      <c r="E33" s="281"/>
      <c r="F33" s="281"/>
      <c r="G33" s="281"/>
      <c r="H33" s="281"/>
      <c r="I33" s="281"/>
      <c r="J33" s="281"/>
      <c r="K33" s="281"/>
      <c r="L33" s="281"/>
      <c r="M33" s="237"/>
    </row>
    <row r="34" spans="1:13" x14ac:dyDescent="0.25">
      <c r="A34" s="475" t="s">
        <v>248</v>
      </c>
      <c r="B34" s="475"/>
      <c r="C34" s="475"/>
      <c r="D34" s="475"/>
      <c r="E34" s="475"/>
      <c r="F34" s="475"/>
      <c r="G34" s="475"/>
      <c r="H34" s="475"/>
      <c r="I34" s="475"/>
      <c r="J34" s="475"/>
      <c r="K34" s="475"/>
      <c r="L34" s="475"/>
      <c r="M34" s="475"/>
    </row>
    <row r="35" spans="1:13" x14ac:dyDescent="0.25">
      <c r="A35" s="464" t="s">
        <v>5</v>
      </c>
      <c r="B35" s="464" t="s">
        <v>73</v>
      </c>
      <c r="C35" s="102" t="s">
        <v>74</v>
      </c>
      <c r="D35" s="467" t="s">
        <v>77</v>
      </c>
      <c r="E35" s="468"/>
      <c r="F35" s="468"/>
      <c r="G35" s="467" t="s">
        <v>78</v>
      </c>
      <c r="H35" s="468"/>
      <c r="I35" s="469"/>
      <c r="J35" s="470" t="s">
        <v>79</v>
      </c>
      <c r="K35" s="471"/>
      <c r="L35" s="472"/>
      <c r="M35" s="103"/>
    </row>
    <row r="36" spans="1:13" x14ac:dyDescent="0.25">
      <c r="A36" s="466"/>
      <c r="B36" s="466"/>
      <c r="C36" s="104" t="s">
        <v>75</v>
      </c>
      <c r="D36" s="464" t="s">
        <v>76</v>
      </c>
      <c r="E36" s="464" t="s">
        <v>9</v>
      </c>
      <c r="F36" s="464" t="s">
        <v>7</v>
      </c>
      <c r="G36" s="464" t="s">
        <v>76</v>
      </c>
      <c r="H36" s="464" t="s">
        <v>9</v>
      </c>
      <c r="I36" s="464" t="s">
        <v>7</v>
      </c>
      <c r="J36" s="464" t="s">
        <v>79</v>
      </c>
      <c r="K36" s="464" t="s">
        <v>80</v>
      </c>
      <c r="L36" s="102" t="s">
        <v>81</v>
      </c>
      <c r="M36" s="284" t="s">
        <v>59</v>
      </c>
    </row>
    <row r="37" spans="1:13" x14ac:dyDescent="0.25">
      <c r="A37" s="465"/>
      <c r="B37" s="465"/>
      <c r="C37" s="105"/>
      <c r="D37" s="465"/>
      <c r="E37" s="465"/>
      <c r="F37" s="465"/>
      <c r="G37" s="465"/>
      <c r="H37" s="465"/>
      <c r="I37" s="465"/>
      <c r="J37" s="465"/>
      <c r="K37" s="465"/>
      <c r="L37" s="106" t="s">
        <v>82</v>
      </c>
      <c r="M37" s="107"/>
    </row>
    <row r="38" spans="1:13" x14ac:dyDescent="0.25">
      <c r="A38" s="283"/>
      <c r="B38" s="131" t="s">
        <v>41</v>
      </c>
      <c r="C38" s="103"/>
      <c r="D38" s="283"/>
      <c r="E38" s="283"/>
      <c r="F38" s="283"/>
      <c r="G38" s="283"/>
      <c r="H38" s="283"/>
      <c r="I38" s="283"/>
      <c r="J38" s="283"/>
      <c r="K38" s="283"/>
      <c r="L38" s="102"/>
      <c r="M38" s="132"/>
    </row>
    <row r="39" spans="1:13" x14ac:dyDescent="0.25">
      <c r="A39" s="134">
        <v>20</v>
      </c>
      <c r="B39" s="133" t="s">
        <v>125</v>
      </c>
      <c r="C39" s="133" t="s">
        <v>96</v>
      </c>
      <c r="D39" s="134" t="s">
        <v>175</v>
      </c>
      <c r="E39" s="133" t="s">
        <v>51</v>
      </c>
      <c r="F39" s="134" t="s">
        <v>175</v>
      </c>
      <c r="G39" s="134" t="s">
        <v>175</v>
      </c>
      <c r="H39" s="133" t="s">
        <v>51</v>
      </c>
      <c r="I39" s="134" t="s">
        <v>175</v>
      </c>
      <c r="J39" s="135"/>
      <c r="K39" s="135"/>
      <c r="L39" s="135"/>
      <c r="M39" s="110"/>
    </row>
    <row r="40" spans="1:13" x14ac:dyDescent="0.25">
      <c r="A40" s="122">
        <v>21</v>
      </c>
      <c r="B40" s="121" t="s">
        <v>126</v>
      </c>
      <c r="C40" s="121" t="s">
        <v>96</v>
      </c>
      <c r="D40" s="134" t="s">
        <v>175</v>
      </c>
      <c r="E40" s="121" t="s">
        <v>50</v>
      </c>
      <c r="F40" s="134" t="s">
        <v>175</v>
      </c>
      <c r="G40" s="134" t="s">
        <v>175</v>
      </c>
      <c r="H40" s="121" t="s">
        <v>50</v>
      </c>
      <c r="I40" s="134" t="s">
        <v>175</v>
      </c>
      <c r="J40" s="123"/>
      <c r="K40" s="123"/>
      <c r="L40" s="123"/>
      <c r="M40" s="121"/>
    </row>
    <row r="41" spans="1:13" x14ac:dyDescent="0.25">
      <c r="A41" s="122">
        <v>22</v>
      </c>
      <c r="B41" s="121" t="s">
        <v>127</v>
      </c>
      <c r="C41" s="121" t="s">
        <v>96</v>
      </c>
      <c r="D41" s="134" t="s">
        <v>175</v>
      </c>
      <c r="E41" s="121" t="s">
        <v>50</v>
      </c>
      <c r="F41" s="134" t="s">
        <v>175</v>
      </c>
      <c r="G41" s="134" t="s">
        <v>175</v>
      </c>
      <c r="H41" s="121" t="s">
        <v>50</v>
      </c>
      <c r="I41" s="134" t="s">
        <v>175</v>
      </c>
      <c r="J41" s="123"/>
      <c r="K41" s="123"/>
      <c r="L41" s="123"/>
      <c r="M41" s="121"/>
    </row>
    <row r="42" spans="1:13" x14ac:dyDescent="0.25">
      <c r="A42" s="134">
        <v>23</v>
      </c>
      <c r="B42" s="121" t="s">
        <v>128</v>
      </c>
      <c r="C42" s="121" t="s">
        <v>96</v>
      </c>
      <c r="D42" s="134" t="s">
        <v>175</v>
      </c>
      <c r="E42" s="121" t="s">
        <v>50</v>
      </c>
      <c r="F42" s="134" t="s">
        <v>175</v>
      </c>
      <c r="G42" s="134" t="s">
        <v>175</v>
      </c>
      <c r="H42" s="121" t="s">
        <v>50</v>
      </c>
      <c r="I42" s="134" t="s">
        <v>175</v>
      </c>
      <c r="J42" s="123"/>
      <c r="K42" s="123"/>
      <c r="L42" s="123"/>
      <c r="M42" s="121"/>
    </row>
    <row r="43" spans="1:13" x14ac:dyDescent="0.25">
      <c r="A43" s="122">
        <v>24</v>
      </c>
      <c r="B43" s="121" t="s">
        <v>129</v>
      </c>
      <c r="C43" s="121" t="s">
        <v>96</v>
      </c>
      <c r="D43" s="134" t="s">
        <v>175</v>
      </c>
      <c r="E43" s="121" t="s">
        <v>52</v>
      </c>
      <c r="F43" s="134" t="s">
        <v>175</v>
      </c>
      <c r="G43" s="134" t="s">
        <v>175</v>
      </c>
      <c r="H43" s="121" t="s">
        <v>52</v>
      </c>
      <c r="I43" s="134" t="s">
        <v>175</v>
      </c>
      <c r="J43" s="123">
        <f>15000*12</f>
        <v>180000</v>
      </c>
      <c r="K43" s="123">
        <v>0</v>
      </c>
      <c r="L43" s="123">
        <v>0</v>
      </c>
      <c r="M43" s="121"/>
    </row>
    <row r="44" spans="1:13" x14ac:dyDescent="0.25">
      <c r="A44" s="122">
        <v>25</v>
      </c>
      <c r="B44" s="121"/>
      <c r="C44" s="121"/>
      <c r="D44" s="134" t="s">
        <v>175</v>
      </c>
      <c r="E44" s="122" t="s">
        <v>175</v>
      </c>
      <c r="F44" s="134" t="s">
        <v>175</v>
      </c>
      <c r="G44" s="134" t="s">
        <v>175</v>
      </c>
      <c r="H44" s="98" t="s">
        <v>193</v>
      </c>
      <c r="I44" s="134" t="s">
        <v>175</v>
      </c>
      <c r="J44" s="123">
        <v>0</v>
      </c>
      <c r="K44" s="123">
        <v>0</v>
      </c>
      <c r="L44" s="123">
        <v>0</v>
      </c>
      <c r="M44" s="122" t="s">
        <v>174</v>
      </c>
    </row>
    <row r="45" spans="1:13" x14ac:dyDescent="0.25">
      <c r="A45" s="134">
        <v>26</v>
      </c>
      <c r="B45" s="121" t="s">
        <v>130</v>
      </c>
      <c r="C45" s="121" t="s">
        <v>171</v>
      </c>
      <c r="D45" s="134" t="s">
        <v>175</v>
      </c>
      <c r="E45" s="121" t="s">
        <v>49</v>
      </c>
      <c r="F45" s="134" t="s">
        <v>175</v>
      </c>
      <c r="G45" s="134" t="s">
        <v>175</v>
      </c>
      <c r="H45" s="121" t="s">
        <v>49</v>
      </c>
      <c r="I45" s="134" t="s">
        <v>175</v>
      </c>
      <c r="J45" s="123">
        <f>10680*12</f>
        <v>128160</v>
      </c>
      <c r="K45" s="123">
        <v>0</v>
      </c>
      <c r="L45" s="123">
        <v>0</v>
      </c>
      <c r="M45" s="121"/>
    </row>
    <row r="46" spans="1:13" x14ac:dyDescent="0.25">
      <c r="A46" s="122">
        <v>27</v>
      </c>
      <c r="B46" s="121" t="s">
        <v>131</v>
      </c>
      <c r="C46" s="121" t="s">
        <v>171</v>
      </c>
      <c r="D46" s="134" t="s">
        <v>175</v>
      </c>
      <c r="E46" s="121" t="s">
        <v>48</v>
      </c>
      <c r="F46" s="134" t="s">
        <v>175</v>
      </c>
      <c r="G46" s="134" t="s">
        <v>175</v>
      </c>
      <c r="H46" s="121" t="s">
        <v>48</v>
      </c>
      <c r="I46" s="134" t="s">
        <v>175</v>
      </c>
      <c r="J46" s="123">
        <f>9900*12</f>
        <v>118800</v>
      </c>
      <c r="K46" s="123">
        <v>0</v>
      </c>
      <c r="L46" s="123">
        <v>0</v>
      </c>
      <c r="M46" s="121"/>
    </row>
    <row r="47" spans="1:13" x14ac:dyDescent="0.25">
      <c r="A47" s="122">
        <v>28</v>
      </c>
      <c r="B47" s="121" t="s">
        <v>133</v>
      </c>
      <c r="C47" s="121" t="s">
        <v>171</v>
      </c>
      <c r="D47" s="134" t="s">
        <v>175</v>
      </c>
      <c r="E47" s="121" t="s">
        <v>132</v>
      </c>
      <c r="F47" s="134" t="s">
        <v>175</v>
      </c>
      <c r="G47" s="134" t="s">
        <v>175</v>
      </c>
      <c r="H47" s="121" t="s">
        <v>132</v>
      </c>
      <c r="I47" s="134" t="s">
        <v>175</v>
      </c>
      <c r="J47" s="123">
        <f>9400*12</f>
        <v>112800</v>
      </c>
      <c r="K47" s="123">
        <v>0</v>
      </c>
      <c r="L47" s="123">
        <v>0</v>
      </c>
      <c r="M47" s="121"/>
    </row>
    <row r="48" spans="1:13" x14ac:dyDescent="0.25">
      <c r="A48" s="134">
        <v>29</v>
      </c>
      <c r="B48" s="121"/>
      <c r="C48" s="121"/>
      <c r="D48" s="134" t="s">
        <v>175</v>
      </c>
      <c r="E48" s="134" t="s">
        <v>175</v>
      </c>
      <c r="F48" s="134" t="s">
        <v>175</v>
      </c>
      <c r="G48" s="134" t="s">
        <v>175</v>
      </c>
      <c r="H48" s="121" t="s">
        <v>194</v>
      </c>
      <c r="I48" s="134" t="s">
        <v>175</v>
      </c>
      <c r="J48" s="123">
        <v>0</v>
      </c>
      <c r="K48" s="123">
        <v>0</v>
      </c>
      <c r="L48" s="123">
        <v>0</v>
      </c>
      <c r="M48" s="121" t="s">
        <v>174</v>
      </c>
    </row>
    <row r="49" spans="1:13" x14ac:dyDescent="0.25">
      <c r="A49" s="104"/>
      <c r="B49" s="119" t="s">
        <v>38</v>
      </c>
      <c r="C49" s="110"/>
      <c r="D49" s="104"/>
      <c r="E49" s="110"/>
      <c r="F49" s="104"/>
      <c r="G49" s="104"/>
      <c r="H49" s="110"/>
      <c r="I49" s="104"/>
      <c r="J49" s="111"/>
      <c r="K49" s="111"/>
      <c r="L49" s="111"/>
      <c r="M49" s="110"/>
    </row>
    <row r="50" spans="1:13" x14ac:dyDescent="0.25">
      <c r="A50" s="134">
        <v>30</v>
      </c>
      <c r="B50" s="133" t="s">
        <v>134</v>
      </c>
      <c r="C50" s="133"/>
      <c r="D50" s="134" t="s">
        <v>175</v>
      </c>
      <c r="E50" s="133" t="s">
        <v>46</v>
      </c>
      <c r="F50" s="134" t="s">
        <v>175</v>
      </c>
      <c r="G50" s="134" t="s">
        <v>175</v>
      </c>
      <c r="H50" s="133" t="s">
        <v>46</v>
      </c>
      <c r="I50" s="134" t="s">
        <v>175</v>
      </c>
      <c r="J50" s="135">
        <f>11110*12</f>
        <v>133320</v>
      </c>
      <c r="K50" s="135">
        <v>0</v>
      </c>
      <c r="L50" s="135">
        <v>0</v>
      </c>
      <c r="M50" s="133"/>
    </row>
    <row r="51" spans="1:13" x14ac:dyDescent="0.25">
      <c r="A51" s="104"/>
      <c r="B51" s="119" t="s">
        <v>36</v>
      </c>
      <c r="C51" s="110"/>
      <c r="D51" s="113"/>
      <c r="E51" s="110"/>
      <c r="F51" s="113"/>
      <c r="G51" s="113"/>
      <c r="H51" s="110"/>
      <c r="I51" s="113"/>
      <c r="J51" s="111"/>
      <c r="K51" s="111"/>
      <c r="L51" s="111"/>
      <c r="M51" s="110"/>
    </row>
    <row r="52" spans="1:13" x14ac:dyDescent="0.25">
      <c r="A52" s="134">
        <v>31</v>
      </c>
      <c r="B52" s="133" t="s">
        <v>135</v>
      </c>
      <c r="C52" s="133"/>
      <c r="D52" s="134" t="s">
        <v>175</v>
      </c>
      <c r="E52" s="97" t="s">
        <v>47</v>
      </c>
      <c r="F52" s="134" t="s">
        <v>175</v>
      </c>
      <c r="G52" s="134" t="s">
        <v>175</v>
      </c>
      <c r="H52" s="97" t="s">
        <v>47</v>
      </c>
      <c r="I52" s="134" t="s">
        <v>175</v>
      </c>
      <c r="J52" s="135">
        <f>9000*12</f>
        <v>108000</v>
      </c>
      <c r="K52" s="135">
        <v>0</v>
      </c>
      <c r="L52" s="135">
        <v>0</v>
      </c>
      <c r="M52" s="110"/>
    </row>
    <row r="53" spans="1:13" x14ac:dyDescent="0.25">
      <c r="A53" s="122">
        <v>32</v>
      </c>
      <c r="B53" s="121" t="s">
        <v>136</v>
      </c>
      <c r="C53" s="121"/>
      <c r="D53" s="134" t="s">
        <v>175</v>
      </c>
      <c r="E53" s="98" t="s">
        <v>47</v>
      </c>
      <c r="F53" s="134" t="s">
        <v>175</v>
      </c>
      <c r="G53" s="134" t="s">
        <v>175</v>
      </c>
      <c r="H53" s="98" t="s">
        <v>47</v>
      </c>
      <c r="I53" s="134" t="s">
        <v>175</v>
      </c>
      <c r="J53" s="123">
        <f>9000*12</f>
        <v>108000</v>
      </c>
      <c r="K53" s="123">
        <v>0</v>
      </c>
      <c r="L53" s="123">
        <v>0</v>
      </c>
      <c r="M53" s="121"/>
    </row>
    <row r="54" spans="1:13" x14ac:dyDescent="0.25">
      <c r="A54" s="122">
        <v>33</v>
      </c>
      <c r="B54" s="121" t="s">
        <v>137</v>
      </c>
      <c r="C54" s="121"/>
      <c r="D54" s="134" t="s">
        <v>175</v>
      </c>
      <c r="E54" s="121" t="s">
        <v>46</v>
      </c>
      <c r="F54" s="134" t="s">
        <v>175</v>
      </c>
      <c r="G54" s="134" t="s">
        <v>175</v>
      </c>
      <c r="H54" s="121" t="s">
        <v>46</v>
      </c>
      <c r="I54" s="134" t="s">
        <v>175</v>
      </c>
      <c r="J54" s="123">
        <f>9000*12</f>
        <v>108000</v>
      </c>
      <c r="K54" s="123">
        <v>0</v>
      </c>
      <c r="L54" s="123">
        <v>0</v>
      </c>
      <c r="M54" s="121"/>
    </row>
    <row r="55" spans="1:13" x14ac:dyDescent="0.25">
      <c r="A55" s="122">
        <v>34</v>
      </c>
      <c r="B55" s="121" t="s">
        <v>138</v>
      </c>
      <c r="C55" s="121"/>
      <c r="D55" s="122" t="s">
        <v>175</v>
      </c>
      <c r="E55" s="121" t="s">
        <v>45</v>
      </c>
      <c r="F55" s="122" t="s">
        <v>175</v>
      </c>
      <c r="G55" s="122" t="s">
        <v>175</v>
      </c>
      <c r="H55" s="121" t="s">
        <v>45</v>
      </c>
      <c r="I55" s="122" t="s">
        <v>175</v>
      </c>
      <c r="J55" s="123">
        <f>9000*12</f>
        <v>108000</v>
      </c>
      <c r="K55" s="123">
        <v>0</v>
      </c>
      <c r="L55" s="123">
        <v>0</v>
      </c>
      <c r="M55" s="121"/>
    </row>
    <row r="56" spans="1:13" ht="15.75" thickBot="1" x14ac:dyDescent="0.3">
      <c r="A56" s="137">
        <v>35</v>
      </c>
      <c r="B56" s="136" t="s">
        <v>139</v>
      </c>
      <c r="C56" s="136"/>
      <c r="D56" s="137" t="s">
        <v>175</v>
      </c>
      <c r="E56" s="136" t="s">
        <v>44</v>
      </c>
      <c r="F56" s="137" t="s">
        <v>175</v>
      </c>
      <c r="G56" s="137" t="s">
        <v>175</v>
      </c>
      <c r="H56" s="136" t="s">
        <v>44</v>
      </c>
      <c r="I56" s="137" t="s">
        <v>175</v>
      </c>
      <c r="J56" s="138">
        <f>9000*12</f>
        <v>108000</v>
      </c>
      <c r="K56" s="138">
        <v>0</v>
      </c>
      <c r="L56" s="138">
        <v>0</v>
      </c>
      <c r="M56" s="136"/>
    </row>
    <row r="57" spans="1:13" x14ac:dyDescent="0.25">
      <c r="A57" s="104"/>
      <c r="B57" s="119" t="s">
        <v>140</v>
      </c>
      <c r="C57" s="110"/>
      <c r="D57" s="110"/>
      <c r="E57" s="110"/>
      <c r="F57" s="110"/>
      <c r="G57" s="110"/>
      <c r="H57" s="110"/>
      <c r="I57" s="110"/>
      <c r="J57" s="111"/>
      <c r="K57" s="111"/>
      <c r="L57" s="111"/>
      <c r="M57" s="110"/>
    </row>
    <row r="58" spans="1:13" x14ac:dyDescent="0.25">
      <c r="A58" s="104"/>
      <c r="B58" s="119" t="s">
        <v>187</v>
      </c>
      <c r="C58" s="110"/>
      <c r="D58" s="110"/>
      <c r="E58" s="110"/>
      <c r="F58" s="110"/>
      <c r="G58" s="110"/>
      <c r="H58" s="110"/>
      <c r="I58" s="110"/>
      <c r="J58" s="111"/>
      <c r="K58" s="111"/>
      <c r="L58" s="111"/>
      <c r="M58" s="110"/>
    </row>
    <row r="59" spans="1:13" x14ac:dyDescent="0.25">
      <c r="A59" s="104">
        <v>36</v>
      </c>
      <c r="B59" s="110" t="s">
        <v>141</v>
      </c>
      <c r="C59" s="110" t="s">
        <v>96</v>
      </c>
      <c r="D59" s="110" t="s">
        <v>142</v>
      </c>
      <c r="E59" s="110" t="s">
        <v>143</v>
      </c>
      <c r="F59" s="104">
        <v>7</v>
      </c>
      <c r="G59" s="110" t="s">
        <v>142</v>
      </c>
      <c r="H59" s="110" t="s">
        <v>143</v>
      </c>
      <c r="I59" s="104">
        <v>7</v>
      </c>
      <c r="J59" s="111">
        <f>25470*12</f>
        <v>305640</v>
      </c>
      <c r="K59" s="111">
        <f>3500*12</f>
        <v>42000</v>
      </c>
      <c r="L59" s="111">
        <v>0</v>
      </c>
      <c r="M59" s="120">
        <f>SUM(J59:L59)</f>
        <v>347640</v>
      </c>
    </row>
    <row r="60" spans="1:13" x14ac:dyDescent="0.25">
      <c r="A60" s="134">
        <v>37</v>
      </c>
      <c r="B60" s="133"/>
      <c r="C60" s="133"/>
      <c r="D60" s="133"/>
      <c r="E60" s="133" t="s">
        <v>189</v>
      </c>
      <c r="F60" s="134"/>
      <c r="G60" s="133"/>
      <c r="H60" s="133" t="s">
        <v>189</v>
      </c>
      <c r="I60" s="134"/>
      <c r="J60" s="135"/>
      <c r="K60" s="135"/>
      <c r="L60" s="135"/>
      <c r="M60" s="133"/>
    </row>
    <row r="61" spans="1:13" x14ac:dyDescent="0.25">
      <c r="A61" s="122">
        <v>38</v>
      </c>
      <c r="B61" s="121" t="s">
        <v>144</v>
      </c>
      <c r="C61" s="121" t="s">
        <v>96</v>
      </c>
      <c r="D61" s="121" t="s">
        <v>145</v>
      </c>
      <c r="E61" s="121" t="s">
        <v>18</v>
      </c>
      <c r="F61" s="122" t="s">
        <v>65</v>
      </c>
      <c r="G61" s="121" t="s">
        <v>145</v>
      </c>
      <c r="H61" s="121" t="s">
        <v>18</v>
      </c>
      <c r="I61" s="122" t="s">
        <v>65</v>
      </c>
      <c r="J61" s="123">
        <f>19200*12</f>
        <v>230400</v>
      </c>
      <c r="K61" s="123">
        <v>0</v>
      </c>
      <c r="L61" s="123">
        <v>0</v>
      </c>
      <c r="M61" s="139"/>
    </row>
    <row r="62" spans="1:13" x14ac:dyDescent="0.25">
      <c r="A62" s="140">
        <v>39</v>
      </c>
      <c r="B62" s="127" t="s">
        <v>146</v>
      </c>
      <c r="C62" s="127" t="s">
        <v>96</v>
      </c>
      <c r="D62" s="127" t="s">
        <v>147</v>
      </c>
      <c r="E62" s="127" t="s">
        <v>68</v>
      </c>
      <c r="F62" s="140">
        <v>4</v>
      </c>
      <c r="G62" s="127" t="s">
        <v>147</v>
      </c>
      <c r="H62" s="127" t="s">
        <v>68</v>
      </c>
      <c r="I62" s="140">
        <v>4</v>
      </c>
      <c r="J62" s="141">
        <v>16030</v>
      </c>
      <c r="K62" s="141">
        <v>0</v>
      </c>
      <c r="L62" s="141">
        <v>0</v>
      </c>
      <c r="M62" s="142"/>
    </row>
    <row r="63" spans="1:13" x14ac:dyDescent="0.25">
      <c r="A63" s="286"/>
      <c r="B63" s="129"/>
      <c r="C63" s="129"/>
      <c r="D63" s="129"/>
      <c r="E63" s="129"/>
      <c r="F63" s="286"/>
      <c r="G63" s="129"/>
      <c r="H63" s="129"/>
      <c r="I63" s="286"/>
      <c r="J63" s="143"/>
      <c r="K63" s="143"/>
      <c r="L63" s="143"/>
      <c r="M63" s="144"/>
    </row>
    <row r="64" spans="1:13" x14ac:dyDescent="0.25">
      <c r="A64" s="286"/>
      <c r="B64" s="129"/>
      <c r="C64" s="129"/>
      <c r="D64" s="129"/>
      <c r="E64" s="129"/>
      <c r="F64" s="286"/>
      <c r="G64" s="129"/>
      <c r="H64" s="129"/>
      <c r="I64" s="286"/>
      <c r="J64" s="143"/>
      <c r="K64" s="143"/>
      <c r="L64" s="143"/>
      <c r="M64" s="236"/>
    </row>
    <row r="65" spans="1:13" x14ac:dyDescent="0.25">
      <c r="A65" s="286"/>
      <c r="B65" s="129"/>
      <c r="C65" s="129"/>
      <c r="D65" s="129"/>
      <c r="E65" s="129"/>
      <c r="F65" s="286"/>
      <c r="G65" s="129"/>
      <c r="H65" s="129"/>
      <c r="I65" s="286"/>
      <c r="J65" s="143"/>
      <c r="K65" s="143"/>
      <c r="L65" s="143"/>
      <c r="M65" s="236"/>
    </row>
    <row r="66" spans="1:13" x14ac:dyDescent="0.25">
      <c r="A66" s="435"/>
      <c r="B66" s="435"/>
      <c r="C66" s="435"/>
      <c r="D66" s="435"/>
      <c r="E66" s="435"/>
      <c r="F66" s="435"/>
      <c r="G66" s="435"/>
      <c r="H66" s="435"/>
      <c r="I66" s="435"/>
      <c r="J66" s="435"/>
      <c r="K66" s="435"/>
      <c r="L66" s="435"/>
      <c r="M66" s="435"/>
    </row>
    <row r="67" spans="1:13" x14ac:dyDescent="0.25">
      <c r="A67" s="475" t="s">
        <v>249</v>
      </c>
      <c r="B67" s="475"/>
      <c r="C67" s="475"/>
      <c r="D67" s="475"/>
      <c r="E67" s="475"/>
      <c r="F67" s="475"/>
      <c r="G67" s="475"/>
      <c r="H67" s="475"/>
      <c r="I67" s="475"/>
      <c r="J67" s="475"/>
      <c r="K67" s="475"/>
      <c r="L67" s="475"/>
      <c r="M67" s="475"/>
    </row>
    <row r="68" spans="1:13" x14ac:dyDescent="0.25">
      <c r="A68" s="464" t="s">
        <v>5</v>
      </c>
      <c r="B68" s="464" t="s">
        <v>73</v>
      </c>
      <c r="C68" s="102" t="s">
        <v>74</v>
      </c>
      <c r="D68" s="467" t="s">
        <v>77</v>
      </c>
      <c r="E68" s="468"/>
      <c r="F68" s="468"/>
      <c r="G68" s="467" t="s">
        <v>78</v>
      </c>
      <c r="H68" s="468"/>
      <c r="I68" s="469"/>
      <c r="J68" s="470" t="s">
        <v>79</v>
      </c>
      <c r="K68" s="471"/>
      <c r="L68" s="472"/>
      <c r="M68" s="103"/>
    </row>
    <row r="69" spans="1:13" x14ac:dyDescent="0.25">
      <c r="A69" s="466"/>
      <c r="B69" s="466"/>
      <c r="C69" s="104" t="s">
        <v>75</v>
      </c>
      <c r="D69" s="464" t="s">
        <v>76</v>
      </c>
      <c r="E69" s="464" t="s">
        <v>9</v>
      </c>
      <c r="F69" s="464" t="s">
        <v>7</v>
      </c>
      <c r="G69" s="464" t="s">
        <v>76</v>
      </c>
      <c r="H69" s="464" t="s">
        <v>9</v>
      </c>
      <c r="I69" s="464" t="s">
        <v>7</v>
      </c>
      <c r="J69" s="464" t="s">
        <v>79</v>
      </c>
      <c r="K69" s="464" t="s">
        <v>80</v>
      </c>
      <c r="L69" s="102" t="s">
        <v>81</v>
      </c>
      <c r="M69" s="284" t="s">
        <v>59</v>
      </c>
    </row>
    <row r="70" spans="1:13" x14ac:dyDescent="0.25">
      <c r="A70" s="465"/>
      <c r="B70" s="465"/>
      <c r="C70" s="105"/>
      <c r="D70" s="465"/>
      <c r="E70" s="465"/>
      <c r="F70" s="465"/>
      <c r="G70" s="465"/>
      <c r="H70" s="465"/>
      <c r="I70" s="465"/>
      <c r="J70" s="465"/>
      <c r="K70" s="465"/>
      <c r="L70" s="106" t="s">
        <v>82</v>
      </c>
      <c r="M70" s="107"/>
    </row>
    <row r="71" spans="1:13" x14ac:dyDescent="0.25">
      <c r="A71" s="284"/>
      <c r="B71" s="119" t="s">
        <v>140</v>
      </c>
      <c r="C71" s="110"/>
      <c r="D71" s="284"/>
      <c r="E71" s="284"/>
      <c r="F71" s="284"/>
      <c r="G71" s="284"/>
      <c r="H71" s="284"/>
      <c r="I71" s="284"/>
      <c r="J71" s="284"/>
      <c r="K71" s="284"/>
      <c r="L71" s="104"/>
      <c r="M71" s="284"/>
    </row>
    <row r="72" spans="1:13" x14ac:dyDescent="0.25">
      <c r="A72" s="284"/>
      <c r="B72" s="119" t="s">
        <v>187</v>
      </c>
      <c r="C72" s="110"/>
      <c r="D72" s="284"/>
      <c r="E72" s="284"/>
      <c r="F72" s="284"/>
      <c r="G72" s="284"/>
      <c r="H72" s="284"/>
      <c r="I72" s="284"/>
      <c r="J72" s="284"/>
      <c r="K72" s="284"/>
      <c r="L72" s="104"/>
      <c r="M72" s="284"/>
    </row>
    <row r="73" spans="1:13" x14ac:dyDescent="0.25">
      <c r="A73" s="134">
        <v>40</v>
      </c>
      <c r="B73" s="133" t="s">
        <v>148</v>
      </c>
      <c r="C73" s="133" t="s">
        <v>162</v>
      </c>
      <c r="D73" s="133" t="s">
        <v>149</v>
      </c>
      <c r="E73" s="133" t="s">
        <v>150</v>
      </c>
      <c r="F73" s="134">
        <v>5</v>
      </c>
      <c r="G73" s="133" t="s">
        <v>149</v>
      </c>
      <c r="H73" s="133" t="s">
        <v>150</v>
      </c>
      <c r="I73" s="134">
        <v>5</v>
      </c>
      <c r="J73" s="135">
        <f>15290*12</f>
        <v>183480</v>
      </c>
      <c r="K73" s="135">
        <v>0</v>
      </c>
      <c r="L73" s="135">
        <v>0</v>
      </c>
      <c r="M73" s="133"/>
    </row>
    <row r="74" spans="1:13" x14ac:dyDescent="0.25">
      <c r="A74" s="122">
        <v>41</v>
      </c>
      <c r="B74" s="122" t="s">
        <v>188</v>
      </c>
      <c r="C74" s="121"/>
      <c r="D74" s="121" t="s">
        <v>151</v>
      </c>
      <c r="E74" s="121" t="s">
        <v>20</v>
      </c>
      <c r="F74" s="126" t="s">
        <v>110</v>
      </c>
      <c r="G74" s="121" t="s">
        <v>151</v>
      </c>
      <c r="H74" s="121" t="s">
        <v>20</v>
      </c>
      <c r="I74" s="126" t="s">
        <v>110</v>
      </c>
      <c r="J74" s="124">
        <f>(5810+27350)/2*12</f>
        <v>198960</v>
      </c>
      <c r="K74" s="123">
        <v>0</v>
      </c>
      <c r="L74" s="123">
        <v>0</v>
      </c>
      <c r="M74" s="122" t="s">
        <v>67</v>
      </c>
    </row>
    <row r="75" spans="1:13" x14ac:dyDescent="0.25">
      <c r="A75" s="134">
        <v>42</v>
      </c>
      <c r="B75" s="133" t="s">
        <v>152</v>
      </c>
      <c r="C75" s="133" t="s">
        <v>162</v>
      </c>
      <c r="D75" s="133" t="s">
        <v>153</v>
      </c>
      <c r="E75" s="133" t="s">
        <v>21</v>
      </c>
      <c r="F75" s="134">
        <v>4</v>
      </c>
      <c r="G75" s="133" t="s">
        <v>153</v>
      </c>
      <c r="H75" s="133" t="s">
        <v>21</v>
      </c>
      <c r="I75" s="134">
        <v>4</v>
      </c>
      <c r="J75" s="135">
        <f>14850*12</f>
        <v>178200</v>
      </c>
      <c r="K75" s="135">
        <v>0</v>
      </c>
      <c r="L75" s="135">
        <v>0</v>
      </c>
      <c r="M75" s="134"/>
    </row>
    <row r="76" spans="1:13" x14ac:dyDescent="0.25">
      <c r="A76" s="122">
        <v>43</v>
      </c>
      <c r="B76" s="122" t="s">
        <v>188</v>
      </c>
      <c r="C76" s="121"/>
      <c r="D76" s="121" t="s">
        <v>154</v>
      </c>
      <c r="E76" s="121" t="s">
        <v>155</v>
      </c>
      <c r="F76" s="126" t="s">
        <v>111</v>
      </c>
      <c r="G76" s="121" t="s">
        <v>154</v>
      </c>
      <c r="H76" s="121" t="s">
        <v>155</v>
      </c>
      <c r="I76" s="126" t="s">
        <v>111</v>
      </c>
      <c r="J76" s="124">
        <f>(4870+22760)/2*12</f>
        <v>165780</v>
      </c>
      <c r="K76" s="123">
        <v>0</v>
      </c>
      <c r="L76" s="123">
        <v>0</v>
      </c>
      <c r="M76" s="122" t="s">
        <v>67</v>
      </c>
    </row>
    <row r="77" spans="1:13" x14ac:dyDescent="0.25">
      <c r="A77" s="104"/>
      <c r="B77" s="119" t="s">
        <v>26</v>
      </c>
      <c r="C77" s="110"/>
      <c r="D77" s="110"/>
      <c r="E77" s="110"/>
      <c r="F77" s="110"/>
      <c r="G77" s="110"/>
      <c r="H77" s="110"/>
      <c r="I77" s="110"/>
      <c r="J77" s="111"/>
      <c r="K77" s="111"/>
      <c r="L77" s="111"/>
      <c r="M77" s="104"/>
    </row>
    <row r="78" spans="1:13" x14ac:dyDescent="0.25">
      <c r="A78" s="134">
        <v>44</v>
      </c>
      <c r="B78" s="133" t="s">
        <v>190</v>
      </c>
      <c r="C78" s="133" t="s">
        <v>171</v>
      </c>
      <c r="D78" s="134" t="s">
        <v>175</v>
      </c>
      <c r="E78" s="133" t="s">
        <v>27</v>
      </c>
      <c r="F78" s="134" t="s">
        <v>175</v>
      </c>
      <c r="G78" s="134" t="s">
        <v>191</v>
      </c>
      <c r="H78" s="133" t="s">
        <v>27</v>
      </c>
      <c r="I78" s="134" t="s">
        <v>175</v>
      </c>
      <c r="J78" s="145">
        <f>12560*12</f>
        <v>150720</v>
      </c>
      <c r="K78" s="135">
        <v>0</v>
      </c>
      <c r="L78" s="135">
        <v>0</v>
      </c>
      <c r="M78" s="134"/>
    </row>
    <row r="79" spans="1:13" x14ac:dyDescent="0.25">
      <c r="A79" s="104"/>
      <c r="B79" s="146" t="s">
        <v>41</v>
      </c>
      <c r="C79" s="110"/>
      <c r="D79" s="110"/>
      <c r="E79" s="110"/>
      <c r="F79" s="110"/>
      <c r="G79" s="110"/>
      <c r="H79" s="110"/>
      <c r="I79" s="110"/>
      <c r="J79" s="145"/>
      <c r="K79" s="111"/>
      <c r="L79" s="111"/>
      <c r="M79" s="104"/>
    </row>
    <row r="80" spans="1:13" x14ac:dyDescent="0.25">
      <c r="A80" s="134">
        <v>45</v>
      </c>
      <c r="B80" s="133" t="s">
        <v>156</v>
      </c>
      <c r="C80" s="133" t="s">
        <v>171</v>
      </c>
      <c r="D80" s="134" t="s">
        <v>175</v>
      </c>
      <c r="E80" s="133" t="s">
        <v>49</v>
      </c>
      <c r="F80" s="134" t="s">
        <v>175</v>
      </c>
      <c r="G80" s="134" t="s">
        <v>175</v>
      </c>
      <c r="H80" s="133" t="s">
        <v>49</v>
      </c>
      <c r="I80" s="134" t="s">
        <v>175</v>
      </c>
      <c r="J80" s="124">
        <f>9400*12</f>
        <v>112800</v>
      </c>
      <c r="K80" s="135">
        <v>0</v>
      </c>
      <c r="L80" s="135">
        <v>0</v>
      </c>
      <c r="M80" s="134"/>
    </row>
    <row r="81" spans="1:13" ht="15.75" thickBot="1" x14ac:dyDescent="0.3">
      <c r="A81" s="117">
        <v>46</v>
      </c>
      <c r="B81" s="116"/>
      <c r="C81" s="116"/>
      <c r="D81" s="117" t="s">
        <v>175</v>
      </c>
      <c r="E81" s="117" t="s">
        <v>175</v>
      </c>
      <c r="F81" s="117" t="s">
        <v>175</v>
      </c>
      <c r="G81" s="117" t="s">
        <v>175</v>
      </c>
      <c r="H81" s="116" t="s">
        <v>192</v>
      </c>
      <c r="I81" s="117" t="s">
        <v>175</v>
      </c>
      <c r="J81" s="118">
        <v>0</v>
      </c>
      <c r="K81" s="118">
        <v>0</v>
      </c>
      <c r="L81" s="118">
        <v>0</v>
      </c>
      <c r="M81" s="117" t="s">
        <v>174</v>
      </c>
    </row>
    <row r="82" spans="1:13" x14ac:dyDescent="0.25">
      <c r="A82" s="104"/>
      <c r="B82" s="119" t="s">
        <v>22</v>
      </c>
      <c r="C82" s="110"/>
      <c r="D82" s="104"/>
      <c r="E82" s="104"/>
      <c r="F82" s="104"/>
      <c r="G82" s="104"/>
      <c r="H82" s="110"/>
      <c r="I82" s="104"/>
      <c r="J82" s="111"/>
      <c r="K82" s="111"/>
      <c r="L82" s="111"/>
      <c r="M82" s="104"/>
    </row>
    <row r="83" spans="1:13" x14ac:dyDescent="0.25">
      <c r="A83" s="104"/>
      <c r="B83" s="119" t="s">
        <v>187</v>
      </c>
      <c r="C83" s="110"/>
      <c r="D83" s="104"/>
      <c r="E83" s="104"/>
      <c r="F83" s="104"/>
      <c r="G83" s="104"/>
      <c r="H83" s="110"/>
      <c r="I83" s="104"/>
      <c r="J83" s="111"/>
      <c r="K83" s="111"/>
      <c r="L83" s="111"/>
      <c r="M83" s="104"/>
    </row>
    <row r="84" spans="1:13" x14ac:dyDescent="0.25">
      <c r="A84" s="104">
        <v>47</v>
      </c>
      <c r="B84" s="110" t="s">
        <v>157</v>
      </c>
      <c r="C84" s="110" t="s">
        <v>96</v>
      </c>
      <c r="D84" s="110" t="s">
        <v>158</v>
      </c>
      <c r="E84" s="110" t="s">
        <v>159</v>
      </c>
      <c r="F84" s="104">
        <v>7</v>
      </c>
      <c r="G84" s="110" t="s">
        <v>158</v>
      </c>
      <c r="H84" s="110" t="s">
        <v>159</v>
      </c>
      <c r="I84" s="104">
        <v>7</v>
      </c>
      <c r="J84" s="111">
        <f>22620*12</f>
        <v>271440</v>
      </c>
      <c r="K84" s="111">
        <f>3500*12</f>
        <v>42000</v>
      </c>
      <c r="L84" s="111">
        <v>0</v>
      </c>
      <c r="M84" s="120">
        <f>SUM(J84:L84)</f>
        <v>313440</v>
      </c>
    </row>
    <row r="85" spans="1:13" x14ac:dyDescent="0.25">
      <c r="A85" s="104"/>
      <c r="B85" s="110"/>
      <c r="C85" s="110"/>
      <c r="D85" s="110"/>
      <c r="E85" s="110" t="s">
        <v>160</v>
      </c>
      <c r="F85" s="104"/>
      <c r="G85" s="110"/>
      <c r="H85" s="110" t="s">
        <v>160</v>
      </c>
      <c r="I85" s="104"/>
      <c r="J85" s="111"/>
      <c r="K85" s="111"/>
      <c r="L85" s="111"/>
      <c r="M85" s="110"/>
    </row>
    <row r="86" spans="1:13" x14ac:dyDescent="0.25">
      <c r="A86" s="122">
        <v>48</v>
      </c>
      <c r="B86" s="121" t="s">
        <v>161</v>
      </c>
      <c r="C86" s="121" t="s">
        <v>162</v>
      </c>
      <c r="D86" s="121" t="s">
        <v>163</v>
      </c>
      <c r="E86" s="121" t="s">
        <v>23</v>
      </c>
      <c r="F86" s="122">
        <v>3</v>
      </c>
      <c r="G86" s="121" t="s">
        <v>163</v>
      </c>
      <c r="H86" s="121" t="s">
        <v>23</v>
      </c>
      <c r="I86" s="122">
        <v>3</v>
      </c>
      <c r="J86" s="123">
        <f>13310*12</f>
        <v>159720</v>
      </c>
      <c r="K86" s="123">
        <v>0</v>
      </c>
      <c r="L86" s="123">
        <v>0</v>
      </c>
      <c r="M86" s="139"/>
    </row>
    <row r="87" spans="1:13" x14ac:dyDescent="0.25">
      <c r="A87" s="122">
        <v>49</v>
      </c>
      <c r="B87" s="122" t="s">
        <v>188</v>
      </c>
      <c r="C87" s="121"/>
      <c r="D87" s="121" t="s">
        <v>166</v>
      </c>
      <c r="E87" s="121" t="s">
        <v>23</v>
      </c>
      <c r="F87" s="126" t="s">
        <v>110</v>
      </c>
      <c r="G87" s="121" t="s">
        <v>166</v>
      </c>
      <c r="H87" s="121" t="s">
        <v>23</v>
      </c>
      <c r="I87" s="126" t="s">
        <v>110</v>
      </c>
      <c r="J87" s="124">
        <f>(4870+19100)*12/2</f>
        <v>143820</v>
      </c>
      <c r="K87" s="123">
        <v>0</v>
      </c>
      <c r="L87" s="123">
        <v>0</v>
      </c>
      <c r="M87" s="288" t="s">
        <v>67</v>
      </c>
    </row>
    <row r="88" spans="1:13" x14ac:dyDescent="0.25">
      <c r="A88" s="122">
        <v>50</v>
      </c>
      <c r="B88" s="122" t="s">
        <v>188</v>
      </c>
      <c r="C88" s="121"/>
      <c r="D88" s="121" t="s">
        <v>167</v>
      </c>
      <c r="E88" s="121" t="s">
        <v>24</v>
      </c>
      <c r="F88" s="126" t="s">
        <v>110</v>
      </c>
      <c r="G88" s="121" t="s">
        <v>167</v>
      </c>
      <c r="H88" s="121" t="s">
        <v>24</v>
      </c>
      <c r="I88" s="126" t="s">
        <v>110</v>
      </c>
      <c r="J88" s="124">
        <f>(4870+19100)*12/2</f>
        <v>143820</v>
      </c>
      <c r="K88" s="123">
        <v>0</v>
      </c>
      <c r="L88" s="123">
        <v>0</v>
      </c>
      <c r="M88" s="122" t="s">
        <v>67</v>
      </c>
    </row>
    <row r="89" spans="1:13" x14ac:dyDescent="0.25">
      <c r="A89" s="122">
        <v>51</v>
      </c>
      <c r="B89" s="122" t="s">
        <v>188</v>
      </c>
      <c r="C89" s="121"/>
      <c r="D89" s="121" t="s">
        <v>168</v>
      </c>
      <c r="E89" s="121" t="s">
        <v>25</v>
      </c>
      <c r="F89" s="126" t="s">
        <v>110</v>
      </c>
      <c r="G89" s="121" t="s">
        <v>168</v>
      </c>
      <c r="H89" s="121" t="s">
        <v>25</v>
      </c>
      <c r="I89" s="126" t="s">
        <v>110</v>
      </c>
      <c r="J89" s="124">
        <f>(4870+19100)*12/2</f>
        <v>143820</v>
      </c>
      <c r="K89" s="123">
        <v>0</v>
      </c>
      <c r="L89" s="123">
        <v>0</v>
      </c>
      <c r="M89" s="122" t="s">
        <v>67</v>
      </c>
    </row>
    <row r="90" spans="1:13" x14ac:dyDescent="0.25">
      <c r="A90" s="122">
        <v>52</v>
      </c>
      <c r="B90" s="121" t="s">
        <v>164</v>
      </c>
      <c r="C90" s="121" t="s">
        <v>171</v>
      </c>
      <c r="D90" s="121" t="s">
        <v>165</v>
      </c>
      <c r="E90" s="121" t="s">
        <v>13</v>
      </c>
      <c r="F90" s="122">
        <v>3</v>
      </c>
      <c r="G90" s="121" t="s">
        <v>165</v>
      </c>
      <c r="H90" s="121" t="s">
        <v>13</v>
      </c>
      <c r="I90" s="122">
        <v>3</v>
      </c>
      <c r="J90" s="123">
        <f>12330*12</f>
        <v>147960</v>
      </c>
      <c r="K90" s="123">
        <v>0</v>
      </c>
      <c r="L90" s="123">
        <v>0</v>
      </c>
      <c r="M90" s="121"/>
    </row>
    <row r="91" spans="1:13" x14ac:dyDescent="0.25">
      <c r="A91" s="104"/>
      <c r="B91" s="146" t="s">
        <v>41</v>
      </c>
      <c r="C91" s="110"/>
      <c r="D91" s="110"/>
      <c r="E91" s="110"/>
      <c r="F91" s="104"/>
      <c r="G91" s="110"/>
      <c r="H91" s="110"/>
      <c r="I91" s="104"/>
      <c r="J91" s="111"/>
      <c r="K91" s="111"/>
      <c r="L91" s="111"/>
      <c r="M91" s="110"/>
    </row>
    <row r="92" spans="1:13" x14ac:dyDescent="0.25">
      <c r="A92" s="104">
        <v>53</v>
      </c>
      <c r="B92" s="110" t="s">
        <v>170</v>
      </c>
      <c r="C92" s="110" t="s">
        <v>171</v>
      </c>
      <c r="D92" s="104" t="s">
        <v>175</v>
      </c>
      <c r="E92" s="110" t="s">
        <v>40</v>
      </c>
      <c r="F92" s="104" t="s">
        <v>175</v>
      </c>
      <c r="G92" s="104" t="s">
        <v>175</v>
      </c>
      <c r="H92" s="110" t="s">
        <v>40</v>
      </c>
      <c r="I92" s="104" t="s">
        <v>175</v>
      </c>
      <c r="J92" s="147">
        <f>11110*12</f>
        <v>133320</v>
      </c>
      <c r="K92" s="111">
        <v>0</v>
      </c>
      <c r="L92" s="111">
        <v>0</v>
      </c>
      <c r="M92" s="110"/>
    </row>
    <row r="93" spans="1:13" x14ac:dyDescent="0.25">
      <c r="A93" s="122">
        <v>57</v>
      </c>
      <c r="B93" s="121" t="s">
        <v>169</v>
      </c>
      <c r="C93" s="121" t="s">
        <v>171</v>
      </c>
      <c r="D93" s="122" t="s">
        <v>175</v>
      </c>
      <c r="E93" s="121" t="s">
        <v>39</v>
      </c>
      <c r="F93" s="122" t="s">
        <v>175</v>
      </c>
      <c r="G93" s="122" t="s">
        <v>175</v>
      </c>
      <c r="H93" s="121" t="s">
        <v>39</v>
      </c>
      <c r="I93" s="122" t="s">
        <v>175</v>
      </c>
      <c r="J93" s="121">
        <f>9400*12</f>
        <v>112800</v>
      </c>
      <c r="K93" s="123">
        <v>0</v>
      </c>
      <c r="L93" s="123">
        <v>0</v>
      </c>
      <c r="M93" s="121"/>
    </row>
    <row r="94" spans="1:13" x14ac:dyDescent="0.25">
      <c r="A94" s="106">
        <v>55</v>
      </c>
      <c r="B94" s="148"/>
      <c r="C94" s="105"/>
      <c r="D94" s="106" t="s">
        <v>175</v>
      </c>
      <c r="E94" s="106" t="s">
        <v>175</v>
      </c>
      <c r="F94" s="106" t="s">
        <v>175</v>
      </c>
      <c r="G94" s="106" t="s">
        <v>175</v>
      </c>
      <c r="H94" s="105" t="s">
        <v>172</v>
      </c>
      <c r="I94" s="149">
        <v>0</v>
      </c>
      <c r="J94" s="150">
        <v>0</v>
      </c>
      <c r="K94" s="150">
        <v>0</v>
      </c>
      <c r="L94" s="150">
        <v>0</v>
      </c>
      <c r="M94" s="106" t="s">
        <v>174</v>
      </c>
    </row>
    <row r="95" spans="1:13" x14ac:dyDescent="0.25">
      <c r="A95" s="286"/>
      <c r="B95" s="151"/>
      <c r="C95" s="129"/>
      <c r="D95" s="286"/>
      <c r="E95" s="286"/>
      <c r="F95" s="286"/>
      <c r="G95" s="286"/>
      <c r="H95" s="129"/>
      <c r="I95" s="152"/>
      <c r="J95" s="143"/>
      <c r="K95" s="143"/>
      <c r="L95" s="143"/>
      <c r="M95" s="286"/>
    </row>
    <row r="96" spans="1:13" x14ac:dyDescent="0.25">
      <c r="A96" s="286"/>
      <c r="B96" s="151"/>
      <c r="C96" s="129"/>
      <c r="D96" s="286"/>
      <c r="E96" s="286"/>
      <c r="F96" s="286"/>
      <c r="G96" s="286"/>
      <c r="H96" s="129"/>
      <c r="I96" s="152"/>
      <c r="J96" s="143"/>
      <c r="K96" s="143"/>
      <c r="L96" s="143"/>
      <c r="M96" s="237"/>
    </row>
    <row r="97" spans="1:13" x14ac:dyDescent="0.25">
      <c r="A97" s="286"/>
      <c r="B97" s="151"/>
      <c r="C97" s="129"/>
      <c r="D97" s="286"/>
      <c r="E97" s="286"/>
      <c r="F97" s="286"/>
      <c r="G97" s="286"/>
      <c r="H97" s="129"/>
      <c r="I97" s="152"/>
      <c r="J97" s="143"/>
      <c r="K97" s="143"/>
      <c r="L97" s="143"/>
      <c r="M97" s="286"/>
    </row>
    <row r="98" spans="1:13" x14ac:dyDescent="0.25">
      <c r="A98" s="286"/>
      <c r="B98" s="151"/>
      <c r="C98" s="129"/>
      <c r="D98" s="286"/>
      <c r="E98" s="286"/>
      <c r="F98" s="286"/>
      <c r="G98" s="286"/>
      <c r="H98" s="129"/>
      <c r="I98" s="152"/>
      <c r="J98" s="143"/>
      <c r="K98" s="143"/>
      <c r="L98" s="143"/>
      <c r="M98" s="286"/>
    </row>
    <row r="99" spans="1:13" x14ac:dyDescent="0.25">
      <c r="A99" s="435"/>
      <c r="B99" s="435"/>
      <c r="C99" s="435"/>
      <c r="D99" s="435"/>
      <c r="E99" s="435"/>
      <c r="F99" s="435"/>
      <c r="G99" s="435"/>
      <c r="H99" s="435"/>
      <c r="I99" s="435"/>
      <c r="J99" s="435"/>
      <c r="K99" s="435"/>
      <c r="L99" s="435"/>
      <c r="M99" s="435"/>
    </row>
    <row r="100" spans="1:13" x14ac:dyDescent="0.25">
      <c r="A100" s="475" t="s">
        <v>247</v>
      </c>
      <c r="B100" s="475"/>
      <c r="C100" s="475"/>
      <c r="D100" s="475"/>
      <c r="E100" s="475"/>
      <c r="F100" s="475"/>
      <c r="G100" s="475"/>
      <c r="H100" s="475"/>
      <c r="I100" s="475"/>
      <c r="J100" s="475"/>
      <c r="K100" s="475"/>
      <c r="L100" s="475"/>
      <c r="M100" s="475"/>
    </row>
    <row r="101" spans="1:13" x14ac:dyDescent="0.25">
      <c r="A101" s="464" t="s">
        <v>5</v>
      </c>
      <c r="B101" s="464" t="s">
        <v>73</v>
      </c>
      <c r="C101" s="102" t="s">
        <v>74</v>
      </c>
      <c r="D101" s="467" t="s">
        <v>77</v>
      </c>
      <c r="E101" s="468"/>
      <c r="F101" s="468"/>
      <c r="G101" s="467" t="s">
        <v>78</v>
      </c>
      <c r="H101" s="468"/>
      <c r="I101" s="469"/>
      <c r="J101" s="470" t="s">
        <v>79</v>
      </c>
      <c r="K101" s="471"/>
      <c r="L101" s="472"/>
      <c r="M101" s="103"/>
    </row>
    <row r="102" spans="1:13" x14ac:dyDescent="0.25">
      <c r="A102" s="466"/>
      <c r="B102" s="466"/>
      <c r="C102" s="104" t="s">
        <v>75</v>
      </c>
      <c r="D102" s="464" t="s">
        <v>76</v>
      </c>
      <c r="E102" s="464" t="s">
        <v>9</v>
      </c>
      <c r="F102" s="464" t="s">
        <v>7</v>
      </c>
      <c r="G102" s="464" t="s">
        <v>76</v>
      </c>
      <c r="H102" s="464" t="s">
        <v>9</v>
      </c>
      <c r="I102" s="464" t="s">
        <v>7</v>
      </c>
      <c r="J102" s="464" t="s">
        <v>79</v>
      </c>
      <c r="K102" s="464" t="s">
        <v>80</v>
      </c>
      <c r="L102" s="102" t="s">
        <v>81</v>
      </c>
      <c r="M102" s="284" t="s">
        <v>59</v>
      </c>
    </row>
    <row r="103" spans="1:13" x14ac:dyDescent="0.25">
      <c r="A103" s="465"/>
      <c r="B103" s="465"/>
      <c r="C103" s="105"/>
      <c r="D103" s="465"/>
      <c r="E103" s="465"/>
      <c r="F103" s="465"/>
      <c r="G103" s="465"/>
      <c r="H103" s="465"/>
      <c r="I103" s="465"/>
      <c r="J103" s="465"/>
      <c r="K103" s="465"/>
      <c r="L103" s="106" t="s">
        <v>82</v>
      </c>
      <c r="M103" s="107"/>
    </row>
    <row r="104" spans="1:13" x14ac:dyDescent="0.25">
      <c r="A104" s="104"/>
      <c r="B104" s="146" t="s">
        <v>38</v>
      </c>
      <c r="C104" s="110"/>
      <c r="D104" s="110"/>
      <c r="E104" s="110"/>
      <c r="F104" s="110"/>
      <c r="G104" s="110"/>
      <c r="H104" s="110"/>
      <c r="I104" s="104"/>
      <c r="J104" s="153">
        <v>0</v>
      </c>
      <c r="K104" s="153">
        <v>0</v>
      </c>
      <c r="L104" s="153">
        <v>0</v>
      </c>
      <c r="M104" s="104"/>
    </row>
    <row r="105" spans="1:13" x14ac:dyDescent="0.25">
      <c r="A105" s="134">
        <v>56</v>
      </c>
      <c r="B105" s="133" t="s">
        <v>173</v>
      </c>
      <c r="C105" s="134" t="s">
        <v>175</v>
      </c>
      <c r="D105" s="134" t="s">
        <v>175</v>
      </c>
      <c r="E105" s="134" t="s">
        <v>175</v>
      </c>
      <c r="F105" s="134" t="s">
        <v>175</v>
      </c>
      <c r="G105" s="134" t="s">
        <v>175</v>
      </c>
      <c r="H105" s="133" t="s">
        <v>37</v>
      </c>
      <c r="I105" s="134" t="s">
        <v>175</v>
      </c>
      <c r="J105" s="135">
        <f>9550*12</f>
        <v>114600</v>
      </c>
      <c r="K105" s="279">
        <v>0</v>
      </c>
      <c r="L105" s="279">
        <v>0</v>
      </c>
      <c r="M105" s="134"/>
    </row>
    <row r="106" spans="1:13" x14ac:dyDescent="0.25">
      <c r="A106" s="122">
        <v>57</v>
      </c>
      <c r="B106" s="121"/>
      <c r="C106" s="122" t="s">
        <v>175</v>
      </c>
      <c r="D106" s="122" t="s">
        <v>175</v>
      </c>
      <c r="E106" s="122" t="s">
        <v>175</v>
      </c>
      <c r="F106" s="122" t="s">
        <v>175</v>
      </c>
      <c r="G106" s="122" t="s">
        <v>175</v>
      </c>
      <c r="H106" s="121" t="s">
        <v>37</v>
      </c>
      <c r="I106" s="122" t="s">
        <v>175</v>
      </c>
      <c r="J106" s="123">
        <f>9400*12</f>
        <v>112800</v>
      </c>
      <c r="K106" s="282">
        <v>0</v>
      </c>
      <c r="L106" s="282">
        <v>0</v>
      </c>
      <c r="M106" s="122" t="s">
        <v>67</v>
      </c>
    </row>
    <row r="107" spans="1:13" x14ac:dyDescent="0.25">
      <c r="A107" s="104"/>
      <c r="B107" s="146" t="s">
        <v>36</v>
      </c>
      <c r="C107" s="104"/>
      <c r="D107" s="104"/>
      <c r="E107" s="104"/>
      <c r="F107" s="104"/>
      <c r="G107" s="104"/>
      <c r="H107" s="110"/>
      <c r="I107" s="104"/>
      <c r="J107" s="111"/>
      <c r="K107" s="153"/>
      <c r="L107" s="153"/>
      <c r="M107" s="104"/>
    </row>
    <row r="108" spans="1:13" x14ac:dyDescent="0.25">
      <c r="A108" s="122">
        <v>58</v>
      </c>
      <c r="B108" s="121" t="s">
        <v>176</v>
      </c>
      <c r="C108" s="122" t="s">
        <v>195</v>
      </c>
      <c r="D108" s="122" t="s">
        <v>175</v>
      </c>
      <c r="E108" s="122" t="s">
        <v>175</v>
      </c>
      <c r="F108" s="122" t="s">
        <v>175</v>
      </c>
      <c r="G108" s="122" t="s">
        <v>175</v>
      </c>
      <c r="H108" s="121" t="s">
        <v>177</v>
      </c>
      <c r="I108" s="122" t="s">
        <v>175</v>
      </c>
      <c r="J108" s="123">
        <f>9000*12</f>
        <v>108000</v>
      </c>
      <c r="K108" s="282">
        <v>0</v>
      </c>
      <c r="L108" s="282">
        <v>0</v>
      </c>
      <c r="M108" s="122"/>
    </row>
    <row r="109" spans="1:13" x14ac:dyDescent="0.25">
      <c r="A109" s="122">
        <v>59</v>
      </c>
      <c r="B109" s="121" t="s">
        <v>178</v>
      </c>
      <c r="C109" s="122" t="s">
        <v>195</v>
      </c>
      <c r="D109" s="122" t="s">
        <v>175</v>
      </c>
      <c r="E109" s="122" t="s">
        <v>175</v>
      </c>
      <c r="F109" s="122" t="s">
        <v>175</v>
      </c>
      <c r="G109" s="122" t="s">
        <v>175</v>
      </c>
      <c r="H109" s="121" t="s">
        <v>177</v>
      </c>
      <c r="I109" s="122" t="s">
        <v>175</v>
      </c>
      <c r="J109" s="123">
        <f>9000*12</f>
        <v>108000</v>
      </c>
      <c r="K109" s="282">
        <v>0</v>
      </c>
      <c r="L109" s="282">
        <v>0</v>
      </c>
      <c r="M109" s="122"/>
    </row>
    <row r="110" spans="1:13" x14ac:dyDescent="0.25">
      <c r="A110" s="122">
        <v>60</v>
      </c>
      <c r="B110" s="121"/>
      <c r="C110" s="122" t="s">
        <v>175</v>
      </c>
      <c r="D110" s="122" t="s">
        <v>175</v>
      </c>
      <c r="E110" s="122" t="s">
        <v>175</v>
      </c>
      <c r="F110" s="122" t="s">
        <v>175</v>
      </c>
      <c r="G110" s="122" t="s">
        <v>175</v>
      </c>
      <c r="H110" s="121" t="s">
        <v>177</v>
      </c>
      <c r="I110" s="122" t="s">
        <v>11</v>
      </c>
      <c r="J110" s="282">
        <v>0</v>
      </c>
      <c r="K110" s="282">
        <v>0</v>
      </c>
      <c r="L110" s="282">
        <v>0</v>
      </c>
      <c r="M110" s="122" t="s">
        <v>174</v>
      </c>
    </row>
    <row r="111" spans="1:13" x14ac:dyDescent="0.25">
      <c r="A111" s="140">
        <v>61</v>
      </c>
      <c r="B111" s="127"/>
      <c r="C111" s="140" t="s">
        <v>175</v>
      </c>
      <c r="D111" s="140" t="s">
        <v>175</v>
      </c>
      <c r="E111" s="140" t="s">
        <v>175</v>
      </c>
      <c r="F111" s="140" t="s">
        <v>175</v>
      </c>
      <c r="G111" s="140" t="s">
        <v>175</v>
      </c>
      <c r="H111" s="127" t="s">
        <v>37</v>
      </c>
      <c r="I111" s="140" t="s">
        <v>175</v>
      </c>
      <c r="J111" s="280">
        <v>0</v>
      </c>
      <c r="K111" s="280">
        <v>0</v>
      </c>
      <c r="L111" s="280">
        <v>0</v>
      </c>
      <c r="M111" s="140" t="s">
        <v>174</v>
      </c>
    </row>
    <row r="116" spans="10:12" x14ac:dyDescent="0.25">
      <c r="J116" s="473" t="s">
        <v>250</v>
      </c>
      <c r="K116" s="473"/>
      <c r="L116" s="473"/>
    </row>
    <row r="117" spans="10:12" x14ac:dyDescent="0.25">
      <c r="J117" s="287" t="s">
        <v>251</v>
      </c>
      <c r="K117" s="287"/>
      <c r="L117" s="287"/>
    </row>
    <row r="118" spans="10:12" x14ac:dyDescent="0.25">
      <c r="J118" s="100" t="s">
        <v>252</v>
      </c>
    </row>
    <row r="131" spans="13:13" x14ac:dyDescent="0.25">
      <c r="M131" s="238"/>
    </row>
  </sheetData>
  <mergeCells count="60">
    <mergeCell ref="J116:L116"/>
    <mergeCell ref="J102:J103"/>
    <mergeCell ref="K102:K103"/>
    <mergeCell ref="A1:M1"/>
    <mergeCell ref="A2:M2"/>
    <mergeCell ref="A34:M34"/>
    <mergeCell ref="A67:M67"/>
    <mergeCell ref="A100:M100"/>
    <mergeCell ref="D102:D103"/>
    <mergeCell ref="E102:E103"/>
    <mergeCell ref="F102:F103"/>
    <mergeCell ref="G102:G103"/>
    <mergeCell ref="H102:H103"/>
    <mergeCell ref="I102:I103"/>
    <mergeCell ref="H69:H70"/>
    <mergeCell ref="I69:I70"/>
    <mergeCell ref="A99:M99"/>
    <mergeCell ref="A101:A103"/>
    <mergeCell ref="B101:B103"/>
    <mergeCell ref="D101:F101"/>
    <mergeCell ref="G101:I101"/>
    <mergeCell ref="J101:L101"/>
    <mergeCell ref="A66:M66"/>
    <mergeCell ref="A68:A70"/>
    <mergeCell ref="B68:B70"/>
    <mergeCell ref="D68:F68"/>
    <mergeCell ref="G68:I68"/>
    <mergeCell ref="J68:L68"/>
    <mergeCell ref="D69:D70"/>
    <mergeCell ref="E69:E70"/>
    <mergeCell ref="F69:F70"/>
    <mergeCell ref="G69:G70"/>
    <mergeCell ref="J69:J70"/>
    <mergeCell ref="K69:K70"/>
    <mergeCell ref="F36:F37"/>
    <mergeCell ref="G36:G37"/>
    <mergeCell ref="H36:H37"/>
    <mergeCell ref="I36:I37"/>
    <mergeCell ref="J36:J37"/>
    <mergeCell ref="K36:K37"/>
    <mergeCell ref="I5:I6"/>
    <mergeCell ref="J5:J6"/>
    <mergeCell ref="K5:K6"/>
    <mergeCell ref="A35:A37"/>
    <mergeCell ref="B35:B37"/>
    <mergeCell ref="D35:F35"/>
    <mergeCell ref="G35:I35"/>
    <mergeCell ref="J35:L35"/>
    <mergeCell ref="D36:D37"/>
    <mergeCell ref="E36:E37"/>
    <mergeCell ref="A4:A6"/>
    <mergeCell ref="B4:B6"/>
    <mergeCell ref="D4:F4"/>
    <mergeCell ref="G4:I4"/>
    <mergeCell ref="J4:L4"/>
    <mergeCell ref="D5:D6"/>
    <mergeCell ref="E5:E6"/>
    <mergeCell ref="F5:F6"/>
    <mergeCell ref="G5:G6"/>
    <mergeCell ref="H5:H6"/>
  </mergeCells>
  <pageMargins left="0.39370078740157483" right="0.11811023622047245" top="0.74803149606299213" bottom="0.55118110236220474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128"/>
  <sheetViews>
    <sheetView topLeftCell="A73" zoomScale="130" zoomScaleNormal="130" workbookViewId="0">
      <selection activeCell="Q100" sqref="Q100"/>
    </sheetView>
  </sheetViews>
  <sheetFormatPr defaultRowHeight="12.75" x14ac:dyDescent="0.2"/>
  <cols>
    <col min="1" max="1" width="3.75" style="1" customWidth="1"/>
    <col min="2" max="2" width="19.625" style="1" customWidth="1"/>
    <col min="3" max="3" width="11.875" style="1" customWidth="1"/>
    <col min="4" max="5" width="4.375" style="1" customWidth="1"/>
    <col min="6" max="6" width="8" style="1" customWidth="1"/>
    <col min="7" max="8" width="4.625" style="1" customWidth="1"/>
    <col min="9" max="9" width="5.375" style="1" customWidth="1"/>
    <col min="10" max="10" width="4.125" style="1" customWidth="1"/>
    <col min="11" max="11" width="3.75" style="1" customWidth="1"/>
    <col min="12" max="12" width="3.875" style="1" customWidth="1"/>
    <col min="13" max="13" width="7.75" style="1" customWidth="1"/>
    <col min="14" max="15" width="7.125" style="1" customWidth="1"/>
    <col min="16" max="16" width="8.375" style="1" customWidth="1"/>
    <col min="17" max="17" width="8.125" style="1" customWidth="1"/>
    <col min="18" max="18" width="8.25" style="1" customWidth="1"/>
    <col min="19" max="19" width="6.5" style="1" customWidth="1"/>
    <col min="20" max="259" width="9" style="1"/>
    <col min="260" max="260" width="3.75" style="1" customWidth="1"/>
    <col min="261" max="261" width="28.25" style="1" customWidth="1"/>
    <col min="262" max="262" width="6.75" style="1" customWidth="1"/>
    <col min="263" max="263" width="5.875" style="1" customWidth="1"/>
    <col min="264" max="264" width="4.125" style="1" customWidth="1"/>
    <col min="265" max="265" width="10.125" style="1" customWidth="1"/>
    <col min="266" max="266" width="4.5" style="1" customWidth="1"/>
    <col min="267" max="267" width="4.75" style="1" customWidth="1"/>
    <col min="268" max="268" width="4.5" style="1" customWidth="1"/>
    <col min="269" max="269" width="8.5" style="1" customWidth="1"/>
    <col min="270" max="270" width="8.375" style="1" customWidth="1"/>
    <col min="271" max="271" width="8.5" style="1" customWidth="1"/>
    <col min="272" max="272" width="10.375" style="1" customWidth="1"/>
    <col min="273" max="273" width="10.125" style="1" customWidth="1"/>
    <col min="274" max="274" width="10.25" style="1" customWidth="1"/>
    <col min="275" max="515" width="9" style="1"/>
    <col min="516" max="516" width="3.75" style="1" customWidth="1"/>
    <col min="517" max="517" width="28.25" style="1" customWidth="1"/>
    <col min="518" max="518" width="6.75" style="1" customWidth="1"/>
    <col min="519" max="519" width="5.875" style="1" customWidth="1"/>
    <col min="520" max="520" width="4.125" style="1" customWidth="1"/>
    <col min="521" max="521" width="10.125" style="1" customWidth="1"/>
    <col min="522" max="522" width="4.5" style="1" customWidth="1"/>
    <col min="523" max="523" width="4.75" style="1" customWidth="1"/>
    <col min="524" max="524" width="4.5" style="1" customWidth="1"/>
    <col min="525" max="525" width="8.5" style="1" customWidth="1"/>
    <col min="526" max="526" width="8.375" style="1" customWidth="1"/>
    <col min="527" max="527" width="8.5" style="1" customWidth="1"/>
    <col min="528" max="528" width="10.375" style="1" customWidth="1"/>
    <col min="529" max="529" width="10.125" style="1" customWidth="1"/>
    <col min="530" max="530" width="10.25" style="1" customWidth="1"/>
    <col min="531" max="771" width="9" style="1"/>
    <col min="772" max="772" width="3.75" style="1" customWidth="1"/>
    <col min="773" max="773" width="28.25" style="1" customWidth="1"/>
    <col min="774" max="774" width="6.75" style="1" customWidth="1"/>
    <col min="775" max="775" width="5.875" style="1" customWidth="1"/>
    <col min="776" max="776" width="4.125" style="1" customWidth="1"/>
    <col min="777" max="777" width="10.125" style="1" customWidth="1"/>
    <col min="778" max="778" width="4.5" style="1" customWidth="1"/>
    <col min="779" max="779" width="4.75" style="1" customWidth="1"/>
    <col min="780" max="780" width="4.5" style="1" customWidth="1"/>
    <col min="781" max="781" width="8.5" style="1" customWidth="1"/>
    <col min="782" max="782" width="8.375" style="1" customWidth="1"/>
    <col min="783" max="783" width="8.5" style="1" customWidth="1"/>
    <col min="784" max="784" width="10.375" style="1" customWidth="1"/>
    <col min="785" max="785" width="10.125" style="1" customWidth="1"/>
    <col min="786" max="786" width="10.25" style="1" customWidth="1"/>
    <col min="787" max="1027" width="9" style="1"/>
    <col min="1028" max="1028" width="3.75" style="1" customWidth="1"/>
    <col min="1029" max="1029" width="28.25" style="1" customWidth="1"/>
    <col min="1030" max="1030" width="6.75" style="1" customWidth="1"/>
    <col min="1031" max="1031" width="5.875" style="1" customWidth="1"/>
    <col min="1032" max="1032" width="4.125" style="1" customWidth="1"/>
    <col min="1033" max="1033" width="10.125" style="1" customWidth="1"/>
    <col min="1034" max="1034" width="4.5" style="1" customWidth="1"/>
    <col min="1035" max="1035" width="4.75" style="1" customWidth="1"/>
    <col min="1036" max="1036" width="4.5" style="1" customWidth="1"/>
    <col min="1037" max="1037" width="8.5" style="1" customWidth="1"/>
    <col min="1038" max="1038" width="8.375" style="1" customWidth="1"/>
    <col min="1039" max="1039" width="8.5" style="1" customWidth="1"/>
    <col min="1040" max="1040" width="10.375" style="1" customWidth="1"/>
    <col min="1041" max="1041" width="10.125" style="1" customWidth="1"/>
    <col min="1042" max="1042" width="10.25" style="1" customWidth="1"/>
    <col min="1043" max="1283" width="9" style="1"/>
    <col min="1284" max="1284" width="3.75" style="1" customWidth="1"/>
    <col min="1285" max="1285" width="28.25" style="1" customWidth="1"/>
    <col min="1286" max="1286" width="6.75" style="1" customWidth="1"/>
    <col min="1287" max="1287" width="5.875" style="1" customWidth="1"/>
    <col min="1288" max="1288" width="4.125" style="1" customWidth="1"/>
    <col min="1289" max="1289" width="10.125" style="1" customWidth="1"/>
    <col min="1290" max="1290" width="4.5" style="1" customWidth="1"/>
    <col min="1291" max="1291" width="4.75" style="1" customWidth="1"/>
    <col min="1292" max="1292" width="4.5" style="1" customWidth="1"/>
    <col min="1293" max="1293" width="8.5" style="1" customWidth="1"/>
    <col min="1294" max="1294" width="8.375" style="1" customWidth="1"/>
    <col min="1295" max="1295" width="8.5" style="1" customWidth="1"/>
    <col min="1296" max="1296" width="10.375" style="1" customWidth="1"/>
    <col min="1297" max="1297" width="10.125" style="1" customWidth="1"/>
    <col min="1298" max="1298" width="10.25" style="1" customWidth="1"/>
    <col min="1299" max="1539" width="9" style="1"/>
    <col min="1540" max="1540" width="3.75" style="1" customWidth="1"/>
    <col min="1541" max="1541" width="28.25" style="1" customWidth="1"/>
    <col min="1542" max="1542" width="6.75" style="1" customWidth="1"/>
    <col min="1543" max="1543" width="5.875" style="1" customWidth="1"/>
    <col min="1544" max="1544" width="4.125" style="1" customWidth="1"/>
    <col min="1545" max="1545" width="10.125" style="1" customWidth="1"/>
    <col min="1546" max="1546" width="4.5" style="1" customWidth="1"/>
    <col min="1547" max="1547" width="4.75" style="1" customWidth="1"/>
    <col min="1548" max="1548" width="4.5" style="1" customWidth="1"/>
    <col min="1549" max="1549" width="8.5" style="1" customWidth="1"/>
    <col min="1550" max="1550" width="8.375" style="1" customWidth="1"/>
    <col min="1551" max="1551" width="8.5" style="1" customWidth="1"/>
    <col min="1552" max="1552" width="10.375" style="1" customWidth="1"/>
    <col min="1553" max="1553" width="10.125" style="1" customWidth="1"/>
    <col min="1554" max="1554" width="10.25" style="1" customWidth="1"/>
    <col min="1555" max="1795" width="9" style="1"/>
    <col min="1796" max="1796" width="3.75" style="1" customWidth="1"/>
    <col min="1797" max="1797" width="28.25" style="1" customWidth="1"/>
    <col min="1798" max="1798" width="6.75" style="1" customWidth="1"/>
    <col min="1799" max="1799" width="5.875" style="1" customWidth="1"/>
    <col min="1800" max="1800" width="4.125" style="1" customWidth="1"/>
    <col min="1801" max="1801" width="10.125" style="1" customWidth="1"/>
    <col min="1802" max="1802" width="4.5" style="1" customWidth="1"/>
    <col min="1803" max="1803" width="4.75" style="1" customWidth="1"/>
    <col min="1804" max="1804" width="4.5" style="1" customWidth="1"/>
    <col min="1805" max="1805" width="8.5" style="1" customWidth="1"/>
    <col min="1806" max="1806" width="8.375" style="1" customWidth="1"/>
    <col min="1807" max="1807" width="8.5" style="1" customWidth="1"/>
    <col min="1808" max="1808" width="10.375" style="1" customWidth="1"/>
    <col min="1809" max="1809" width="10.125" style="1" customWidth="1"/>
    <col min="1810" max="1810" width="10.25" style="1" customWidth="1"/>
    <col min="1811" max="2051" width="9" style="1"/>
    <col min="2052" max="2052" width="3.75" style="1" customWidth="1"/>
    <col min="2053" max="2053" width="28.25" style="1" customWidth="1"/>
    <col min="2054" max="2054" width="6.75" style="1" customWidth="1"/>
    <col min="2055" max="2055" width="5.875" style="1" customWidth="1"/>
    <col min="2056" max="2056" width="4.125" style="1" customWidth="1"/>
    <col min="2057" max="2057" width="10.125" style="1" customWidth="1"/>
    <col min="2058" max="2058" width="4.5" style="1" customWidth="1"/>
    <col min="2059" max="2059" width="4.75" style="1" customWidth="1"/>
    <col min="2060" max="2060" width="4.5" style="1" customWidth="1"/>
    <col min="2061" max="2061" width="8.5" style="1" customWidth="1"/>
    <col min="2062" max="2062" width="8.375" style="1" customWidth="1"/>
    <col min="2063" max="2063" width="8.5" style="1" customWidth="1"/>
    <col min="2064" max="2064" width="10.375" style="1" customWidth="1"/>
    <col min="2065" max="2065" width="10.125" style="1" customWidth="1"/>
    <col min="2066" max="2066" width="10.25" style="1" customWidth="1"/>
    <col min="2067" max="2307" width="9" style="1"/>
    <col min="2308" max="2308" width="3.75" style="1" customWidth="1"/>
    <col min="2309" max="2309" width="28.25" style="1" customWidth="1"/>
    <col min="2310" max="2310" width="6.75" style="1" customWidth="1"/>
    <col min="2311" max="2311" width="5.875" style="1" customWidth="1"/>
    <col min="2312" max="2312" width="4.125" style="1" customWidth="1"/>
    <col min="2313" max="2313" width="10.125" style="1" customWidth="1"/>
    <col min="2314" max="2314" width="4.5" style="1" customWidth="1"/>
    <col min="2315" max="2315" width="4.75" style="1" customWidth="1"/>
    <col min="2316" max="2316" width="4.5" style="1" customWidth="1"/>
    <col min="2317" max="2317" width="8.5" style="1" customWidth="1"/>
    <col min="2318" max="2318" width="8.375" style="1" customWidth="1"/>
    <col min="2319" max="2319" width="8.5" style="1" customWidth="1"/>
    <col min="2320" max="2320" width="10.375" style="1" customWidth="1"/>
    <col min="2321" max="2321" width="10.125" style="1" customWidth="1"/>
    <col min="2322" max="2322" width="10.25" style="1" customWidth="1"/>
    <col min="2323" max="2563" width="9" style="1"/>
    <col min="2564" max="2564" width="3.75" style="1" customWidth="1"/>
    <col min="2565" max="2565" width="28.25" style="1" customWidth="1"/>
    <col min="2566" max="2566" width="6.75" style="1" customWidth="1"/>
    <col min="2567" max="2567" width="5.875" style="1" customWidth="1"/>
    <col min="2568" max="2568" width="4.125" style="1" customWidth="1"/>
    <col min="2569" max="2569" width="10.125" style="1" customWidth="1"/>
    <col min="2570" max="2570" width="4.5" style="1" customWidth="1"/>
    <col min="2571" max="2571" width="4.75" style="1" customWidth="1"/>
    <col min="2572" max="2572" width="4.5" style="1" customWidth="1"/>
    <col min="2573" max="2573" width="8.5" style="1" customWidth="1"/>
    <col min="2574" max="2574" width="8.375" style="1" customWidth="1"/>
    <col min="2575" max="2575" width="8.5" style="1" customWidth="1"/>
    <col min="2576" max="2576" width="10.375" style="1" customWidth="1"/>
    <col min="2577" max="2577" width="10.125" style="1" customWidth="1"/>
    <col min="2578" max="2578" width="10.25" style="1" customWidth="1"/>
    <col min="2579" max="2819" width="9" style="1"/>
    <col min="2820" max="2820" width="3.75" style="1" customWidth="1"/>
    <col min="2821" max="2821" width="28.25" style="1" customWidth="1"/>
    <col min="2822" max="2822" width="6.75" style="1" customWidth="1"/>
    <col min="2823" max="2823" width="5.875" style="1" customWidth="1"/>
    <col min="2824" max="2824" width="4.125" style="1" customWidth="1"/>
    <col min="2825" max="2825" width="10.125" style="1" customWidth="1"/>
    <col min="2826" max="2826" width="4.5" style="1" customWidth="1"/>
    <col min="2827" max="2827" width="4.75" style="1" customWidth="1"/>
    <col min="2828" max="2828" width="4.5" style="1" customWidth="1"/>
    <col min="2829" max="2829" width="8.5" style="1" customWidth="1"/>
    <col min="2830" max="2830" width="8.375" style="1" customWidth="1"/>
    <col min="2831" max="2831" width="8.5" style="1" customWidth="1"/>
    <col min="2832" max="2832" width="10.375" style="1" customWidth="1"/>
    <col min="2833" max="2833" width="10.125" style="1" customWidth="1"/>
    <col min="2834" max="2834" width="10.25" style="1" customWidth="1"/>
    <col min="2835" max="3075" width="9" style="1"/>
    <col min="3076" max="3076" width="3.75" style="1" customWidth="1"/>
    <col min="3077" max="3077" width="28.25" style="1" customWidth="1"/>
    <col min="3078" max="3078" width="6.75" style="1" customWidth="1"/>
    <col min="3079" max="3079" width="5.875" style="1" customWidth="1"/>
    <col min="3080" max="3080" width="4.125" style="1" customWidth="1"/>
    <col min="3081" max="3081" width="10.125" style="1" customWidth="1"/>
    <col min="3082" max="3082" width="4.5" style="1" customWidth="1"/>
    <col min="3083" max="3083" width="4.75" style="1" customWidth="1"/>
    <col min="3084" max="3084" width="4.5" style="1" customWidth="1"/>
    <col min="3085" max="3085" width="8.5" style="1" customWidth="1"/>
    <col min="3086" max="3086" width="8.375" style="1" customWidth="1"/>
    <col min="3087" max="3087" width="8.5" style="1" customWidth="1"/>
    <col min="3088" max="3088" width="10.375" style="1" customWidth="1"/>
    <col min="3089" max="3089" width="10.125" style="1" customWidth="1"/>
    <col min="3090" max="3090" width="10.25" style="1" customWidth="1"/>
    <col min="3091" max="3331" width="9" style="1"/>
    <col min="3332" max="3332" width="3.75" style="1" customWidth="1"/>
    <col min="3333" max="3333" width="28.25" style="1" customWidth="1"/>
    <col min="3334" max="3334" width="6.75" style="1" customWidth="1"/>
    <col min="3335" max="3335" width="5.875" style="1" customWidth="1"/>
    <col min="3336" max="3336" width="4.125" style="1" customWidth="1"/>
    <col min="3337" max="3337" width="10.125" style="1" customWidth="1"/>
    <col min="3338" max="3338" width="4.5" style="1" customWidth="1"/>
    <col min="3339" max="3339" width="4.75" style="1" customWidth="1"/>
    <col min="3340" max="3340" width="4.5" style="1" customWidth="1"/>
    <col min="3341" max="3341" width="8.5" style="1" customWidth="1"/>
    <col min="3342" max="3342" width="8.375" style="1" customWidth="1"/>
    <col min="3343" max="3343" width="8.5" style="1" customWidth="1"/>
    <col min="3344" max="3344" width="10.375" style="1" customWidth="1"/>
    <col min="3345" max="3345" width="10.125" style="1" customWidth="1"/>
    <col min="3346" max="3346" width="10.25" style="1" customWidth="1"/>
    <col min="3347" max="3587" width="9" style="1"/>
    <col min="3588" max="3588" width="3.75" style="1" customWidth="1"/>
    <col min="3589" max="3589" width="28.25" style="1" customWidth="1"/>
    <col min="3590" max="3590" width="6.75" style="1" customWidth="1"/>
    <col min="3591" max="3591" width="5.875" style="1" customWidth="1"/>
    <col min="3592" max="3592" width="4.125" style="1" customWidth="1"/>
    <col min="3593" max="3593" width="10.125" style="1" customWidth="1"/>
    <col min="3594" max="3594" width="4.5" style="1" customWidth="1"/>
    <col min="3595" max="3595" width="4.75" style="1" customWidth="1"/>
    <col min="3596" max="3596" width="4.5" style="1" customWidth="1"/>
    <col min="3597" max="3597" width="8.5" style="1" customWidth="1"/>
    <col min="3598" max="3598" width="8.375" style="1" customWidth="1"/>
    <col min="3599" max="3599" width="8.5" style="1" customWidth="1"/>
    <col min="3600" max="3600" width="10.375" style="1" customWidth="1"/>
    <col min="3601" max="3601" width="10.125" style="1" customWidth="1"/>
    <col min="3602" max="3602" width="10.25" style="1" customWidth="1"/>
    <col min="3603" max="3843" width="9" style="1"/>
    <col min="3844" max="3844" width="3.75" style="1" customWidth="1"/>
    <col min="3845" max="3845" width="28.25" style="1" customWidth="1"/>
    <col min="3846" max="3846" width="6.75" style="1" customWidth="1"/>
    <col min="3847" max="3847" width="5.875" style="1" customWidth="1"/>
    <col min="3848" max="3848" width="4.125" style="1" customWidth="1"/>
    <col min="3849" max="3849" width="10.125" style="1" customWidth="1"/>
    <col min="3850" max="3850" width="4.5" style="1" customWidth="1"/>
    <col min="3851" max="3851" width="4.75" style="1" customWidth="1"/>
    <col min="3852" max="3852" width="4.5" style="1" customWidth="1"/>
    <col min="3853" max="3853" width="8.5" style="1" customWidth="1"/>
    <col min="3854" max="3854" width="8.375" style="1" customWidth="1"/>
    <col min="3855" max="3855" width="8.5" style="1" customWidth="1"/>
    <col min="3856" max="3856" width="10.375" style="1" customWidth="1"/>
    <col min="3857" max="3857" width="10.125" style="1" customWidth="1"/>
    <col min="3858" max="3858" width="10.25" style="1" customWidth="1"/>
    <col min="3859" max="4099" width="9" style="1"/>
    <col min="4100" max="4100" width="3.75" style="1" customWidth="1"/>
    <col min="4101" max="4101" width="28.25" style="1" customWidth="1"/>
    <col min="4102" max="4102" width="6.75" style="1" customWidth="1"/>
    <col min="4103" max="4103" width="5.875" style="1" customWidth="1"/>
    <col min="4104" max="4104" width="4.125" style="1" customWidth="1"/>
    <col min="4105" max="4105" width="10.125" style="1" customWidth="1"/>
    <col min="4106" max="4106" width="4.5" style="1" customWidth="1"/>
    <col min="4107" max="4107" width="4.75" style="1" customWidth="1"/>
    <col min="4108" max="4108" width="4.5" style="1" customWidth="1"/>
    <col min="4109" max="4109" width="8.5" style="1" customWidth="1"/>
    <col min="4110" max="4110" width="8.375" style="1" customWidth="1"/>
    <col min="4111" max="4111" width="8.5" style="1" customWidth="1"/>
    <col min="4112" max="4112" width="10.375" style="1" customWidth="1"/>
    <col min="4113" max="4113" width="10.125" style="1" customWidth="1"/>
    <col min="4114" max="4114" width="10.25" style="1" customWidth="1"/>
    <col min="4115" max="4355" width="9" style="1"/>
    <col min="4356" max="4356" width="3.75" style="1" customWidth="1"/>
    <col min="4357" max="4357" width="28.25" style="1" customWidth="1"/>
    <col min="4358" max="4358" width="6.75" style="1" customWidth="1"/>
    <col min="4359" max="4359" width="5.875" style="1" customWidth="1"/>
    <col min="4360" max="4360" width="4.125" style="1" customWidth="1"/>
    <col min="4361" max="4361" width="10.125" style="1" customWidth="1"/>
    <col min="4362" max="4362" width="4.5" style="1" customWidth="1"/>
    <col min="4363" max="4363" width="4.75" style="1" customWidth="1"/>
    <col min="4364" max="4364" width="4.5" style="1" customWidth="1"/>
    <col min="4365" max="4365" width="8.5" style="1" customWidth="1"/>
    <col min="4366" max="4366" width="8.375" style="1" customWidth="1"/>
    <col min="4367" max="4367" width="8.5" style="1" customWidth="1"/>
    <col min="4368" max="4368" width="10.375" style="1" customWidth="1"/>
    <col min="4369" max="4369" width="10.125" style="1" customWidth="1"/>
    <col min="4370" max="4370" width="10.25" style="1" customWidth="1"/>
    <col min="4371" max="4611" width="9" style="1"/>
    <col min="4612" max="4612" width="3.75" style="1" customWidth="1"/>
    <col min="4613" max="4613" width="28.25" style="1" customWidth="1"/>
    <col min="4614" max="4614" width="6.75" style="1" customWidth="1"/>
    <col min="4615" max="4615" width="5.875" style="1" customWidth="1"/>
    <col min="4616" max="4616" width="4.125" style="1" customWidth="1"/>
    <col min="4617" max="4617" width="10.125" style="1" customWidth="1"/>
    <col min="4618" max="4618" width="4.5" style="1" customWidth="1"/>
    <col min="4619" max="4619" width="4.75" style="1" customWidth="1"/>
    <col min="4620" max="4620" width="4.5" style="1" customWidth="1"/>
    <col min="4621" max="4621" width="8.5" style="1" customWidth="1"/>
    <col min="4622" max="4622" width="8.375" style="1" customWidth="1"/>
    <col min="4623" max="4623" width="8.5" style="1" customWidth="1"/>
    <col min="4624" max="4624" width="10.375" style="1" customWidth="1"/>
    <col min="4625" max="4625" width="10.125" style="1" customWidth="1"/>
    <col min="4626" max="4626" width="10.25" style="1" customWidth="1"/>
    <col min="4627" max="4867" width="9" style="1"/>
    <col min="4868" max="4868" width="3.75" style="1" customWidth="1"/>
    <col min="4869" max="4869" width="28.25" style="1" customWidth="1"/>
    <col min="4870" max="4870" width="6.75" style="1" customWidth="1"/>
    <col min="4871" max="4871" width="5.875" style="1" customWidth="1"/>
    <col min="4872" max="4872" width="4.125" style="1" customWidth="1"/>
    <col min="4873" max="4873" width="10.125" style="1" customWidth="1"/>
    <col min="4874" max="4874" width="4.5" style="1" customWidth="1"/>
    <col min="4875" max="4875" width="4.75" style="1" customWidth="1"/>
    <col min="4876" max="4876" width="4.5" style="1" customWidth="1"/>
    <col min="4877" max="4877" width="8.5" style="1" customWidth="1"/>
    <col min="4878" max="4878" width="8.375" style="1" customWidth="1"/>
    <col min="4879" max="4879" width="8.5" style="1" customWidth="1"/>
    <col min="4880" max="4880" width="10.375" style="1" customWidth="1"/>
    <col min="4881" max="4881" width="10.125" style="1" customWidth="1"/>
    <col min="4882" max="4882" width="10.25" style="1" customWidth="1"/>
    <col min="4883" max="5123" width="9" style="1"/>
    <col min="5124" max="5124" width="3.75" style="1" customWidth="1"/>
    <col min="5125" max="5125" width="28.25" style="1" customWidth="1"/>
    <col min="5126" max="5126" width="6.75" style="1" customWidth="1"/>
    <col min="5127" max="5127" width="5.875" style="1" customWidth="1"/>
    <col min="5128" max="5128" width="4.125" style="1" customWidth="1"/>
    <col min="5129" max="5129" width="10.125" style="1" customWidth="1"/>
    <col min="5130" max="5130" width="4.5" style="1" customWidth="1"/>
    <col min="5131" max="5131" width="4.75" style="1" customWidth="1"/>
    <col min="5132" max="5132" width="4.5" style="1" customWidth="1"/>
    <col min="5133" max="5133" width="8.5" style="1" customWidth="1"/>
    <col min="5134" max="5134" width="8.375" style="1" customWidth="1"/>
    <col min="5135" max="5135" width="8.5" style="1" customWidth="1"/>
    <col min="5136" max="5136" width="10.375" style="1" customWidth="1"/>
    <col min="5137" max="5137" width="10.125" style="1" customWidth="1"/>
    <col min="5138" max="5138" width="10.25" style="1" customWidth="1"/>
    <col min="5139" max="5379" width="9" style="1"/>
    <col min="5380" max="5380" width="3.75" style="1" customWidth="1"/>
    <col min="5381" max="5381" width="28.25" style="1" customWidth="1"/>
    <col min="5382" max="5382" width="6.75" style="1" customWidth="1"/>
    <col min="5383" max="5383" width="5.875" style="1" customWidth="1"/>
    <col min="5384" max="5384" width="4.125" style="1" customWidth="1"/>
    <col min="5385" max="5385" width="10.125" style="1" customWidth="1"/>
    <col min="5386" max="5386" width="4.5" style="1" customWidth="1"/>
    <col min="5387" max="5387" width="4.75" style="1" customWidth="1"/>
    <col min="5388" max="5388" width="4.5" style="1" customWidth="1"/>
    <col min="5389" max="5389" width="8.5" style="1" customWidth="1"/>
    <col min="5390" max="5390" width="8.375" style="1" customWidth="1"/>
    <col min="5391" max="5391" width="8.5" style="1" customWidth="1"/>
    <col min="5392" max="5392" width="10.375" style="1" customWidth="1"/>
    <col min="5393" max="5393" width="10.125" style="1" customWidth="1"/>
    <col min="5394" max="5394" width="10.25" style="1" customWidth="1"/>
    <col min="5395" max="5635" width="9" style="1"/>
    <col min="5636" max="5636" width="3.75" style="1" customWidth="1"/>
    <col min="5637" max="5637" width="28.25" style="1" customWidth="1"/>
    <col min="5638" max="5638" width="6.75" style="1" customWidth="1"/>
    <col min="5639" max="5639" width="5.875" style="1" customWidth="1"/>
    <col min="5640" max="5640" width="4.125" style="1" customWidth="1"/>
    <col min="5641" max="5641" width="10.125" style="1" customWidth="1"/>
    <col min="5642" max="5642" width="4.5" style="1" customWidth="1"/>
    <col min="5643" max="5643" width="4.75" style="1" customWidth="1"/>
    <col min="5644" max="5644" width="4.5" style="1" customWidth="1"/>
    <col min="5645" max="5645" width="8.5" style="1" customWidth="1"/>
    <col min="5646" max="5646" width="8.375" style="1" customWidth="1"/>
    <col min="5647" max="5647" width="8.5" style="1" customWidth="1"/>
    <col min="5648" max="5648" width="10.375" style="1" customWidth="1"/>
    <col min="5649" max="5649" width="10.125" style="1" customWidth="1"/>
    <col min="5650" max="5650" width="10.25" style="1" customWidth="1"/>
    <col min="5651" max="5891" width="9" style="1"/>
    <col min="5892" max="5892" width="3.75" style="1" customWidth="1"/>
    <col min="5893" max="5893" width="28.25" style="1" customWidth="1"/>
    <col min="5894" max="5894" width="6.75" style="1" customWidth="1"/>
    <col min="5895" max="5895" width="5.875" style="1" customWidth="1"/>
    <col min="5896" max="5896" width="4.125" style="1" customWidth="1"/>
    <col min="5897" max="5897" width="10.125" style="1" customWidth="1"/>
    <col min="5898" max="5898" width="4.5" style="1" customWidth="1"/>
    <col min="5899" max="5899" width="4.75" style="1" customWidth="1"/>
    <col min="5900" max="5900" width="4.5" style="1" customWidth="1"/>
    <col min="5901" max="5901" width="8.5" style="1" customWidth="1"/>
    <col min="5902" max="5902" width="8.375" style="1" customWidth="1"/>
    <col min="5903" max="5903" width="8.5" style="1" customWidth="1"/>
    <col min="5904" max="5904" width="10.375" style="1" customWidth="1"/>
    <col min="5905" max="5905" width="10.125" style="1" customWidth="1"/>
    <col min="5906" max="5906" width="10.25" style="1" customWidth="1"/>
    <col min="5907" max="6147" width="9" style="1"/>
    <col min="6148" max="6148" width="3.75" style="1" customWidth="1"/>
    <col min="6149" max="6149" width="28.25" style="1" customWidth="1"/>
    <col min="6150" max="6150" width="6.75" style="1" customWidth="1"/>
    <col min="6151" max="6151" width="5.875" style="1" customWidth="1"/>
    <col min="6152" max="6152" width="4.125" style="1" customWidth="1"/>
    <col min="6153" max="6153" width="10.125" style="1" customWidth="1"/>
    <col min="6154" max="6154" width="4.5" style="1" customWidth="1"/>
    <col min="6155" max="6155" width="4.75" style="1" customWidth="1"/>
    <col min="6156" max="6156" width="4.5" style="1" customWidth="1"/>
    <col min="6157" max="6157" width="8.5" style="1" customWidth="1"/>
    <col min="6158" max="6158" width="8.375" style="1" customWidth="1"/>
    <col min="6159" max="6159" width="8.5" style="1" customWidth="1"/>
    <col min="6160" max="6160" width="10.375" style="1" customWidth="1"/>
    <col min="6161" max="6161" width="10.125" style="1" customWidth="1"/>
    <col min="6162" max="6162" width="10.25" style="1" customWidth="1"/>
    <col min="6163" max="6403" width="9" style="1"/>
    <col min="6404" max="6404" width="3.75" style="1" customWidth="1"/>
    <col min="6405" max="6405" width="28.25" style="1" customWidth="1"/>
    <col min="6406" max="6406" width="6.75" style="1" customWidth="1"/>
    <col min="6407" max="6407" width="5.875" style="1" customWidth="1"/>
    <col min="6408" max="6408" width="4.125" style="1" customWidth="1"/>
    <col min="6409" max="6409" width="10.125" style="1" customWidth="1"/>
    <col min="6410" max="6410" width="4.5" style="1" customWidth="1"/>
    <col min="6411" max="6411" width="4.75" style="1" customWidth="1"/>
    <col min="6412" max="6412" width="4.5" style="1" customWidth="1"/>
    <col min="6413" max="6413" width="8.5" style="1" customWidth="1"/>
    <col min="6414" max="6414" width="8.375" style="1" customWidth="1"/>
    <col min="6415" max="6415" width="8.5" style="1" customWidth="1"/>
    <col min="6416" max="6416" width="10.375" style="1" customWidth="1"/>
    <col min="6417" max="6417" width="10.125" style="1" customWidth="1"/>
    <col min="6418" max="6418" width="10.25" style="1" customWidth="1"/>
    <col min="6419" max="6659" width="9" style="1"/>
    <col min="6660" max="6660" width="3.75" style="1" customWidth="1"/>
    <col min="6661" max="6661" width="28.25" style="1" customWidth="1"/>
    <col min="6662" max="6662" width="6.75" style="1" customWidth="1"/>
    <col min="6663" max="6663" width="5.875" style="1" customWidth="1"/>
    <col min="6664" max="6664" width="4.125" style="1" customWidth="1"/>
    <col min="6665" max="6665" width="10.125" style="1" customWidth="1"/>
    <col min="6666" max="6666" width="4.5" style="1" customWidth="1"/>
    <col min="6667" max="6667" width="4.75" style="1" customWidth="1"/>
    <col min="6668" max="6668" width="4.5" style="1" customWidth="1"/>
    <col min="6669" max="6669" width="8.5" style="1" customWidth="1"/>
    <col min="6670" max="6670" width="8.375" style="1" customWidth="1"/>
    <col min="6671" max="6671" width="8.5" style="1" customWidth="1"/>
    <col min="6672" max="6672" width="10.375" style="1" customWidth="1"/>
    <col min="6673" max="6673" width="10.125" style="1" customWidth="1"/>
    <col min="6674" max="6674" width="10.25" style="1" customWidth="1"/>
    <col min="6675" max="6915" width="9" style="1"/>
    <col min="6916" max="6916" width="3.75" style="1" customWidth="1"/>
    <col min="6917" max="6917" width="28.25" style="1" customWidth="1"/>
    <col min="6918" max="6918" width="6.75" style="1" customWidth="1"/>
    <col min="6919" max="6919" width="5.875" style="1" customWidth="1"/>
    <col min="6920" max="6920" width="4.125" style="1" customWidth="1"/>
    <col min="6921" max="6921" width="10.125" style="1" customWidth="1"/>
    <col min="6922" max="6922" width="4.5" style="1" customWidth="1"/>
    <col min="6923" max="6923" width="4.75" style="1" customWidth="1"/>
    <col min="6924" max="6924" width="4.5" style="1" customWidth="1"/>
    <col min="6925" max="6925" width="8.5" style="1" customWidth="1"/>
    <col min="6926" max="6926" width="8.375" style="1" customWidth="1"/>
    <col min="6927" max="6927" width="8.5" style="1" customWidth="1"/>
    <col min="6928" max="6928" width="10.375" style="1" customWidth="1"/>
    <col min="6929" max="6929" width="10.125" style="1" customWidth="1"/>
    <col min="6930" max="6930" width="10.25" style="1" customWidth="1"/>
    <col min="6931" max="7171" width="9" style="1"/>
    <col min="7172" max="7172" width="3.75" style="1" customWidth="1"/>
    <col min="7173" max="7173" width="28.25" style="1" customWidth="1"/>
    <col min="7174" max="7174" width="6.75" style="1" customWidth="1"/>
    <col min="7175" max="7175" width="5.875" style="1" customWidth="1"/>
    <col min="7176" max="7176" width="4.125" style="1" customWidth="1"/>
    <col min="7177" max="7177" width="10.125" style="1" customWidth="1"/>
    <col min="7178" max="7178" width="4.5" style="1" customWidth="1"/>
    <col min="7179" max="7179" width="4.75" style="1" customWidth="1"/>
    <col min="7180" max="7180" width="4.5" style="1" customWidth="1"/>
    <col min="7181" max="7181" width="8.5" style="1" customWidth="1"/>
    <col min="7182" max="7182" width="8.375" style="1" customWidth="1"/>
    <col min="7183" max="7183" width="8.5" style="1" customWidth="1"/>
    <col min="7184" max="7184" width="10.375" style="1" customWidth="1"/>
    <col min="7185" max="7185" width="10.125" style="1" customWidth="1"/>
    <col min="7186" max="7186" width="10.25" style="1" customWidth="1"/>
    <col min="7187" max="7427" width="9" style="1"/>
    <col min="7428" max="7428" width="3.75" style="1" customWidth="1"/>
    <col min="7429" max="7429" width="28.25" style="1" customWidth="1"/>
    <col min="7430" max="7430" width="6.75" style="1" customWidth="1"/>
    <col min="7431" max="7431" width="5.875" style="1" customWidth="1"/>
    <col min="7432" max="7432" width="4.125" style="1" customWidth="1"/>
    <col min="7433" max="7433" width="10.125" style="1" customWidth="1"/>
    <col min="7434" max="7434" width="4.5" style="1" customWidth="1"/>
    <col min="7435" max="7435" width="4.75" style="1" customWidth="1"/>
    <col min="7436" max="7436" width="4.5" style="1" customWidth="1"/>
    <col min="7437" max="7437" width="8.5" style="1" customWidth="1"/>
    <col min="7438" max="7438" width="8.375" style="1" customWidth="1"/>
    <col min="7439" max="7439" width="8.5" style="1" customWidth="1"/>
    <col min="7440" max="7440" width="10.375" style="1" customWidth="1"/>
    <col min="7441" max="7441" width="10.125" style="1" customWidth="1"/>
    <col min="7442" max="7442" width="10.25" style="1" customWidth="1"/>
    <col min="7443" max="7683" width="9" style="1"/>
    <col min="7684" max="7684" width="3.75" style="1" customWidth="1"/>
    <col min="7685" max="7685" width="28.25" style="1" customWidth="1"/>
    <col min="7686" max="7686" width="6.75" style="1" customWidth="1"/>
    <col min="7687" max="7687" width="5.875" style="1" customWidth="1"/>
    <col min="7688" max="7688" width="4.125" style="1" customWidth="1"/>
    <col min="7689" max="7689" width="10.125" style="1" customWidth="1"/>
    <col min="7690" max="7690" width="4.5" style="1" customWidth="1"/>
    <col min="7691" max="7691" width="4.75" style="1" customWidth="1"/>
    <col min="7692" max="7692" width="4.5" style="1" customWidth="1"/>
    <col min="7693" max="7693" width="8.5" style="1" customWidth="1"/>
    <col min="7694" max="7694" width="8.375" style="1" customWidth="1"/>
    <col min="7695" max="7695" width="8.5" style="1" customWidth="1"/>
    <col min="7696" max="7696" width="10.375" style="1" customWidth="1"/>
    <col min="7697" max="7697" width="10.125" style="1" customWidth="1"/>
    <col min="7698" max="7698" width="10.25" style="1" customWidth="1"/>
    <col min="7699" max="7939" width="9" style="1"/>
    <col min="7940" max="7940" width="3.75" style="1" customWidth="1"/>
    <col min="7941" max="7941" width="28.25" style="1" customWidth="1"/>
    <col min="7942" max="7942" width="6.75" style="1" customWidth="1"/>
    <col min="7943" max="7943" width="5.875" style="1" customWidth="1"/>
    <col min="7944" max="7944" width="4.125" style="1" customWidth="1"/>
    <col min="7945" max="7945" width="10.125" style="1" customWidth="1"/>
    <col min="7946" max="7946" width="4.5" style="1" customWidth="1"/>
    <col min="7947" max="7947" width="4.75" style="1" customWidth="1"/>
    <col min="7948" max="7948" width="4.5" style="1" customWidth="1"/>
    <col min="7949" max="7949" width="8.5" style="1" customWidth="1"/>
    <col min="7950" max="7950" width="8.375" style="1" customWidth="1"/>
    <col min="7951" max="7951" width="8.5" style="1" customWidth="1"/>
    <col min="7952" max="7952" width="10.375" style="1" customWidth="1"/>
    <col min="7953" max="7953" width="10.125" style="1" customWidth="1"/>
    <col min="7954" max="7954" width="10.25" style="1" customWidth="1"/>
    <col min="7955" max="8195" width="9" style="1"/>
    <col min="8196" max="8196" width="3.75" style="1" customWidth="1"/>
    <col min="8197" max="8197" width="28.25" style="1" customWidth="1"/>
    <col min="8198" max="8198" width="6.75" style="1" customWidth="1"/>
    <col min="8199" max="8199" width="5.875" style="1" customWidth="1"/>
    <col min="8200" max="8200" width="4.125" style="1" customWidth="1"/>
    <col min="8201" max="8201" width="10.125" style="1" customWidth="1"/>
    <col min="8202" max="8202" width="4.5" style="1" customWidth="1"/>
    <col min="8203" max="8203" width="4.75" style="1" customWidth="1"/>
    <col min="8204" max="8204" width="4.5" style="1" customWidth="1"/>
    <col min="8205" max="8205" width="8.5" style="1" customWidth="1"/>
    <col min="8206" max="8206" width="8.375" style="1" customWidth="1"/>
    <col min="8207" max="8207" width="8.5" style="1" customWidth="1"/>
    <col min="8208" max="8208" width="10.375" style="1" customWidth="1"/>
    <col min="8209" max="8209" width="10.125" style="1" customWidth="1"/>
    <col min="8210" max="8210" width="10.25" style="1" customWidth="1"/>
    <col min="8211" max="8451" width="9" style="1"/>
    <col min="8452" max="8452" width="3.75" style="1" customWidth="1"/>
    <col min="8453" max="8453" width="28.25" style="1" customWidth="1"/>
    <col min="8454" max="8454" width="6.75" style="1" customWidth="1"/>
    <col min="8455" max="8455" width="5.875" style="1" customWidth="1"/>
    <col min="8456" max="8456" width="4.125" style="1" customWidth="1"/>
    <col min="8457" max="8457" width="10.125" style="1" customWidth="1"/>
    <col min="8458" max="8458" width="4.5" style="1" customWidth="1"/>
    <col min="8459" max="8459" width="4.75" style="1" customWidth="1"/>
    <col min="8460" max="8460" width="4.5" style="1" customWidth="1"/>
    <col min="8461" max="8461" width="8.5" style="1" customWidth="1"/>
    <col min="8462" max="8462" width="8.375" style="1" customWidth="1"/>
    <col min="8463" max="8463" width="8.5" style="1" customWidth="1"/>
    <col min="8464" max="8464" width="10.375" style="1" customWidth="1"/>
    <col min="8465" max="8465" width="10.125" style="1" customWidth="1"/>
    <col min="8466" max="8466" width="10.25" style="1" customWidth="1"/>
    <col min="8467" max="8707" width="9" style="1"/>
    <col min="8708" max="8708" width="3.75" style="1" customWidth="1"/>
    <col min="8709" max="8709" width="28.25" style="1" customWidth="1"/>
    <col min="8710" max="8710" width="6.75" style="1" customWidth="1"/>
    <col min="8711" max="8711" width="5.875" style="1" customWidth="1"/>
    <col min="8712" max="8712" width="4.125" style="1" customWidth="1"/>
    <col min="8713" max="8713" width="10.125" style="1" customWidth="1"/>
    <col min="8714" max="8714" width="4.5" style="1" customWidth="1"/>
    <col min="8715" max="8715" width="4.75" style="1" customWidth="1"/>
    <col min="8716" max="8716" width="4.5" style="1" customWidth="1"/>
    <col min="8717" max="8717" width="8.5" style="1" customWidth="1"/>
    <col min="8718" max="8718" width="8.375" style="1" customWidth="1"/>
    <col min="8719" max="8719" width="8.5" style="1" customWidth="1"/>
    <col min="8720" max="8720" width="10.375" style="1" customWidth="1"/>
    <col min="8721" max="8721" width="10.125" style="1" customWidth="1"/>
    <col min="8722" max="8722" width="10.25" style="1" customWidth="1"/>
    <col min="8723" max="8963" width="9" style="1"/>
    <col min="8964" max="8964" width="3.75" style="1" customWidth="1"/>
    <col min="8965" max="8965" width="28.25" style="1" customWidth="1"/>
    <col min="8966" max="8966" width="6.75" style="1" customWidth="1"/>
    <col min="8967" max="8967" width="5.875" style="1" customWidth="1"/>
    <col min="8968" max="8968" width="4.125" style="1" customWidth="1"/>
    <col min="8969" max="8969" width="10.125" style="1" customWidth="1"/>
    <col min="8970" max="8970" width="4.5" style="1" customWidth="1"/>
    <col min="8971" max="8971" width="4.75" style="1" customWidth="1"/>
    <col min="8972" max="8972" width="4.5" style="1" customWidth="1"/>
    <col min="8973" max="8973" width="8.5" style="1" customWidth="1"/>
    <col min="8974" max="8974" width="8.375" style="1" customWidth="1"/>
    <col min="8975" max="8975" width="8.5" style="1" customWidth="1"/>
    <col min="8976" max="8976" width="10.375" style="1" customWidth="1"/>
    <col min="8977" max="8977" width="10.125" style="1" customWidth="1"/>
    <col min="8978" max="8978" width="10.25" style="1" customWidth="1"/>
    <col min="8979" max="9219" width="9" style="1"/>
    <col min="9220" max="9220" width="3.75" style="1" customWidth="1"/>
    <col min="9221" max="9221" width="28.25" style="1" customWidth="1"/>
    <col min="9222" max="9222" width="6.75" style="1" customWidth="1"/>
    <col min="9223" max="9223" width="5.875" style="1" customWidth="1"/>
    <col min="9224" max="9224" width="4.125" style="1" customWidth="1"/>
    <col min="9225" max="9225" width="10.125" style="1" customWidth="1"/>
    <col min="9226" max="9226" width="4.5" style="1" customWidth="1"/>
    <col min="9227" max="9227" width="4.75" style="1" customWidth="1"/>
    <col min="9228" max="9228" width="4.5" style="1" customWidth="1"/>
    <col min="9229" max="9229" width="8.5" style="1" customWidth="1"/>
    <col min="9230" max="9230" width="8.375" style="1" customWidth="1"/>
    <col min="9231" max="9231" width="8.5" style="1" customWidth="1"/>
    <col min="9232" max="9232" width="10.375" style="1" customWidth="1"/>
    <col min="9233" max="9233" width="10.125" style="1" customWidth="1"/>
    <col min="9234" max="9234" width="10.25" style="1" customWidth="1"/>
    <col min="9235" max="9475" width="9" style="1"/>
    <col min="9476" max="9476" width="3.75" style="1" customWidth="1"/>
    <col min="9477" max="9477" width="28.25" style="1" customWidth="1"/>
    <col min="9478" max="9478" width="6.75" style="1" customWidth="1"/>
    <col min="9479" max="9479" width="5.875" style="1" customWidth="1"/>
    <col min="9480" max="9480" width="4.125" style="1" customWidth="1"/>
    <col min="9481" max="9481" width="10.125" style="1" customWidth="1"/>
    <col min="9482" max="9482" width="4.5" style="1" customWidth="1"/>
    <col min="9483" max="9483" width="4.75" style="1" customWidth="1"/>
    <col min="9484" max="9484" width="4.5" style="1" customWidth="1"/>
    <col min="9485" max="9485" width="8.5" style="1" customWidth="1"/>
    <col min="9486" max="9486" width="8.375" style="1" customWidth="1"/>
    <col min="9487" max="9487" width="8.5" style="1" customWidth="1"/>
    <col min="9488" max="9488" width="10.375" style="1" customWidth="1"/>
    <col min="9489" max="9489" width="10.125" style="1" customWidth="1"/>
    <col min="9490" max="9490" width="10.25" style="1" customWidth="1"/>
    <col min="9491" max="9731" width="9" style="1"/>
    <col min="9732" max="9732" width="3.75" style="1" customWidth="1"/>
    <col min="9733" max="9733" width="28.25" style="1" customWidth="1"/>
    <col min="9734" max="9734" width="6.75" style="1" customWidth="1"/>
    <col min="9735" max="9735" width="5.875" style="1" customWidth="1"/>
    <col min="9736" max="9736" width="4.125" style="1" customWidth="1"/>
    <col min="9737" max="9737" width="10.125" style="1" customWidth="1"/>
    <col min="9738" max="9738" width="4.5" style="1" customWidth="1"/>
    <col min="9739" max="9739" width="4.75" style="1" customWidth="1"/>
    <col min="9740" max="9740" width="4.5" style="1" customWidth="1"/>
    <col min="9741" max="9741" width="8.5" style="1" customWidth="1"/>
    <col min="9742" max="9742" width="8.375" style="1" customWidth="1"/>
    <col min="9743" max="9743" width="8.5" style="1" customWidth="1"/>
    <col min="9744" max="9744" width="10.375" style="1" customWidth="1"/>
    <col min="9745" max="9745" width="10.125" style="1" customWidth="1"/>
    <col min="9746" max="9746" width="10.25" style="1" customWidth="1"/>
    <col min="9747" max="9987" width="9" style="1"/>
    <col min="9988" max="9988" width="3.75" style="1" customWidth="1"/>
    <col min="9989" max="9989" width="28.25" style="1" customWidth="1"/>
    <col min="9990" max="9990" width="6.75" style="1" customWidth="1"/>
    <col min="9991" max="9991" width="5.875" style="1" customWidth="1"/>
    <col min="9992" max="9992" width="4.125" style="1" customWidth="1"/>
    <col min="9993" max="9993" width="10.125" style="1" customWidth="1"/>
    <col min="9994" max="9994" width="4.5" style="1" customWidth="1"/>
    <col min="9995" max="9995" width="4.75" style="1" customWidth="1"/>
    <col min="9996" max="9996" width="4.5" style="1" customWidth="1"/>
    <col min="9997" max="9997" width="8.5" style="1" customWidth="1"/>
    <col min="9998" max="9998" width="8.375" style="1" customWidth="1"/>
    <col min="9999" max="9999" width="8.5" style="1" customWidth="1"/>
    <col min="10000" max="10000" width="10.375" style="1" customWidth="1"/>
    <col min="10001" max="10001" width="10.125" style="1" customWidth="1"/>
    <col min="10002" max="10002" width="10.25" style="1" customWidth="1"/>
    <col min="10003" max="10243" width="9" style="1"/>
    <col min="10244" max="10244" width="3.75" style="1" customWidth="1"/>
    <col min="10245" max="10245" width="28.25" style="1" customWidth="1"/>
    <col min="10246" max="10246" width="6.75" style="1" customWidth="1"/>
    <col min="10247" max="10247" width="5.875" style="1" customWidth="1"/>
    <col min="10248" max="10248" width="4.125" style="1" customWidth="1"/>
    <col min="10249" max="10249" width="10.125" style="1" customWidth="1"/>
    <col min="10250" max="10250" width="4.5" style="1" customWidth="1"/>
    <col min="10251" max="10251" width="4.75" style="1" customWidth="1"/>
    <col min="10252" max="10252" width="4.5" style="1" customWidth="1"/>
    <col min="10253" max="10253" width="8.5" style="1" customWidth="1"/>
    <col min="10254" max="10254" width="8.375" style="1" customWidth="1"/>
    <col min="10255" max="10255" width="8.5" style="1" customWidth="1"/>
    <col min="10256" max="10256" width="10.375" style="1" customWidth="1"/>
    <col min="10257" max="10257" width="10.125" style="1" customWidth="1"/>
    <col min="10258" max="10258" width="10.25" style="1" customWidth="1"/>
    <col min="10259" max="10499" width="9" style="1"/>
    <col min="10500" max="10500" width="3.75" style="1" customWidth="1"/>
    <col min="10501" max="10501" width="28.25" style="1" customWidth="1"/>
    <col min="10502" max="10502" width="6.75" style="1" customWidth="1"/>
    <col min="10503" max="10503" width="5.875" style="1" customWidth="1"/>
    <col min="10504" max="10504" width="4.125" style="1" customWidth="1"/>
    <col min="10505" max="10505" width="10.125" style="1" customWidth="1"/>
    <col min="10506" max="10506" width="4.5" style="1" customWidth="1"/>
    <col min="10507" max="10507" width="4.75" style="1" customWidth="1"/>
    <col min="10508" max="10508" width="4.5" style="1" customWidth="1"/>
    <col min="10509" max="10509" width="8.5" style="1" customWidth="1"/>
    <col min="10510" max="10510" width="8.375" style="1" customWidth="1"/>
    <col min="10511" max="10511" width="8.5" style="1" customWidth="1"/>
    <col min="10512" max="10512" width="10.375" style="1" customWidth="1"/>
    <col min="10513" max="10513" width="10.125" style="1" customWidth="1"/>
    <col min="10514" max="10514" width="10.25" style="1" customWidth="1"/>
    <col min="10515" max="10755" width="9" style="1"/>
    <col min="10756" max="10756" width="3.75" style="1" customWidth="1"/>
    <col min="10757" max="10757" width="28.25" style="1" customWidth="1"/>
    <col min="10758" max="10758" width="6.75" style="1" customWidth="1"/>
    <col min="10759" max="10759" width="5.875" style="1" customWidth="1"/>
    <col min="10760" max="10760" width="4.125" style="1" customWidth="1"/>
    <col min="10761" max="10761" width="10.125" style="1" customWidth="1"/>
    <col min="10762" max="10762" width="4.5" style="1" customWidth="1"/>
    <col min="10763" max="10763" width="4.75" style="1" customWidth="1"/>
    <col min="10764" max="10764" width="4.5" style="1" customWidth="1"/>
    <col min="10765" max="10765" width="8.5" style="1" customWidth="1"/>
    <col min="10766" max="10766" width="8.375" style="1" customWidth="1"/>
    <col min="10767" max="10767" width="8.5" style="1" customWidth="1"/>
    <col min="10768" max="10768" width="10.375" style="1" customWidth="1"/>
    <col min="10769" max="10769" width="10.125" style="1" customWidth="1"/>
    <col min="10770" max="10770" width="10.25" style="1" customWidth="1"/>
    <col min="10771" max="11011" width="9" style="1"/>
    <col min="11012" max="11012" width="3.75" style="1" customWidth="1"/>
    <col min="11013" max="11013" width="28.25" style="1" customWidth="1"/>
    <col min="11014" max="11014" width="6.75" style="1" customWidth="1"/>
    <col min="11015" max="11015" width="5.875" style="1" customWidth="1"/>
    <col min="11016" max="11016" width="4.125" style="1" customWidth="1"/>
    <col min="11017" max="11017" width="10.125" style="1" customWidth="1"/>
    <col min="11018" max="11018" width="4.5" style="1" customWidth="1"/>
    <col min="11019" max="11019" width="4.75" style="1" customWidth="1"/>
    <col min="11020" max="11020" width="4.5" style="1" customWidth="1"/>
    <col min="11021" max="11021" width="8.5" style="1" customWidth="1"/>
    <col min="11022" max="11022" width="8.375" style="1" customWidth="1"/>
    <col min="11023" max="11023" width="8.5" style="1" customWidth="1"/>
    <col min="11024" max="11024" width="10.375" style="1" customWidth="1"/>
    <col min="11025" max="11025" width="10.125" style="1" customWidth="1"/>
    <col min="11026" max="11026" width="10.25" style="1" customWidth="1"/>
    <col min="11027" max="11267" width="9" style="1"/>
    <col min="11268" max="11268" width="3.75" style="1" customWidth="1"/>
    <col min="11269" max="11269" width="28.25" style="1" customWidth="1"/>
    <col min="11270" max="11270" width="6.75" style="1" customWidth="1"/>
    <col min="11271" max="11271" width="5.875" style="1" customWidth="1"/>
    <col min="11272" max="11272" width="4.125" style="1" customWidth="1"/>
    <col min="11273" max="11273" width="10.125" style="1" customWidth="1"/>
    <col min="11274" max="11274" width="4.5" style="1" customWidth="1"/>
    <col min="11275" max="11275" width="4.75" style="1" customWidth="1"/>
    <col min="11276" max="11276" width="4.5" style="1" customWidth="1"/>
    <col min="11277" max="11277" width="8.5" style="1" customWidth="1"/>
    <col min="11278" max="11278" width="8.375" style="1" customWidth="1"/>
    <col min="11279" max="11279" width="8.5" style="1" customWidth="1"/>
    <col min="11280" max="11280" width="10.375" style="1" customWidth="1"/>
    <col min="11281" max="11281" width="10.125" style="1" customWidth="1"/>
    <col min="11282" max="11282" width="10.25" style="1" customWidth="1"/>
    <col min="11283" max="11523" width="9" style="1"/>
    <col min="11524" max="11524" width="3.75" style="1" customWidth="1"/>
    <col min="11525" max="11525" width="28.25" style="1" customWidth="1"/>
    <col min="11526" max="11526" width="6.75" style="1" customWidth="1"/>
    <col min="11527" max="11527" width="5.875" style="1" customWidth="1"/>
    <col min="11528" max="11528" width="4.125" style="1" customWidth="1"/>
    <col min="11529" max="11529" width="10.125" style="1" customWidth="1"/>
    <col min="11530" max="11530" width="4.5" style="1" customWidth="1"/>
    <col min="11531" max="11531" width="4.75" style="1" customWidth="1"/>
    <col min="11532" max="11532" width="4.5" style="1" customWidth="1"/>
    <col min="11533" max="11533" width="8.5" style="1" customWidth="1"/>
    <col min="11534" max="11534" width="8.375" style="1" customWidth="1"/>
    <col min="11535" max="11535" width="8.5" style="1" customWidth="1"/>
    <col min="11536" max="11536" width="10.375" style="1" customWidth="1"/>
    <col min="11537" max="11537" width="10.125" style="1" customWidth="1"/>
    <col min="11538" max="11538" width="10.25" style="1" customWidth="1"/>
    <col min="11539" max="11779" width="9" style="1"/>
    <col min="11780" max="11780" width="3.75" style="1" customWidth="1"/>
    <col min="11781" max="11781" width="28.25" style="1" customWidth="1"/>
    <col min="11782" max="11782" width="6.75" style="1" customWidth="1"/>
    <col min="11783" max="11783" width="5.875" style="1" customWidth="1"/>
    <col min="11784" max="11784" width="4.125" style="1" customWidth="1"/>
    <col min="11785" max="11785" width="10.125" style="1" customWidth="1"/>
    <col min="11786" max="11786" width="4.5" style="1" customWidth="1"/>
    <col min="11787" max="11787" width="4.75" style="1" customWidth="1"/>
    <col min="11788" max="11788" width="4.5" style="1" customWidth="1"/>
    <col min="11789" max="11789" width="8.5" style="1" customWidth="1"/>
    <col min="11790" max="11790" width="8.375" style="1" customWidth="1"/>
    <col min="11791" max="11791" width="8.5" style="1" customWidth="1"/>
    <col min="11792" max="11792" width="10.375" style="1" customWidth="1"/>
    <col min="11793" max="11793" width="10.125" style="1" customWidth="1"/>
    <col min="11794" max="11794" width="10.25" style="1" customWidth="1"/>
    <col min="11795" max="12035" width="9" style="1"/>
    <col min="12036" max="12036" width="3.75" style="1" customWidth="1"/>
    <col min="12037" max="12037" width="28.25" style="1" customWidth="1"/>
    <col min="12038" max="12038" width="6.75" style="1" customWidth="1"/>
    <col min="12039" max="12039" width="5.875" style="1" customWidth="1"/>
    <col min="12040" max="12040" width="4.125" style="1" customWidth="1"/>
    <col min="12041" max="12041" width="10.125" style="1" customWidth="1"/>
    <col min="12042" max="12042" width="4.5" style="1" customWidth="1"/>
    <col min="12043" max="12043" width="4.75" style="1" customWidth="1"/>
    <col min="12044" max="12044" width="4.5" style="1" customWidth="1"/>
    <col min="12045" max="12045" width="8.5" style="1" customWidth="1"/>
    <col min="12046" max="12046" width="8.375" style="1" customWidth="1"/>
    <col min="12047" max="12047" width="8.5" style="1" customWidth="1"/>
    <col min="12048" max="12048" width="10.375" style="1" customWidth="1"/>
    <col min="12049" max="12049" width="10.125" style="1" customWidth="1"/>
    <col min="12050" max="12050" width="10.25" style="1" customWidth="1"/>
    <col min="12051" max="12291" width="9" style="1"/>
    <col min="12292" max="12292" width="3.75" style="1" customWidth="1"/>
    <col min="12293" max="12293" width="28.25" style="1" customWidth="1"/>
    <col min="12294" max="12294" width="6.75" style="1" customWidth="1"/>
    <col min="12295" max="12295" width="5.875" style="1" customWidth="1"/>
    <col min="12296" max="12296" width="4.125" style="1" customWidth="1"/>
    <col min="12297" max="12297" width="10.125" style="1" customWidth="1"/>
    <col min="12298" max="12298" width="4.5" style="1" customWidth="1"/>
    <col min="12299" max="12299" width="4.75" style="1" customWidth="1"/>
    <col min="12300" max="12300" width="4.5" style="1" customWidth="1"/>
    <col min="12301" max="12301" width="8.5" style="1" customWidth="1"/>
    <col min="12302" max="12302" width="8.375" style="1" customWidth="1"/>
    <col min="12303" max="12303" width="8.5" style="1" customWidth="1"/>
    <col min="12304" max="12304" width="10.375" style="1" customWidth="1"/>
    <col min="12305" max="12305" width="10.125" style="1" customWidth="1"/>
    <col min="12306" max="12306" width="10.25" style="1" customWidth="1"/>
    <col min="12307" max="12547" width="9" style="1"/>
    <col min="12548" max="12548" width="3.75" style="1" customWidth="1"/>
    <col min="12549" max="12549" width="28.25" style="1" customWidth="1"/>
    <col min="12550" max="12550" width="6.75" style="1" customWidth="1"/>
    <col min="12551" max="12551" width="5.875" style="1" customWidth="1"/>
    <col min="12552" max="12552" width="4.125" style="1" customWidth="1"/>
    <col min="12553" max="12553" width="10.125" style="1" customWidth="1"/>
    <col min="12554" max="12554" width="4.5" style="1" customWidth="1"/>
    <col min="12555" max="12555" width="4.75" style="1" customWidth="1"/>
    <col min="12556" max="12556" width="4.5" style="1" customWidth="1"/>
    <col min="12557" max="12557" width="8.5" style="1" customWidth="1"/>
    <col min="12558" max="12558" width="8.375" style="1" customWidth="1"/>
    <col min="12559" max="12559" width="8.5" style="1" customWidth="1"/>
    <col min="12560" max="12560" width="10.375" style="1" customWidth="1"/>
    <col min="12561" max="12561" width="10.125" style="1" customWidth="1"/>
    <col min="12562" max="12562" width="10.25" style="1" customWidth="1"/>
    <col min="12563" max="12803" width="9" style="1"/>
    <col min="12804" max="12804" width="3.75" style="1" customWidth="1"/>
    <col min="12805" max="12805" width="28.25" style="1" customWidth="1"/>
    <col min="12806" max="12806" width="6.75" style="1" customWidth="1"/>
    <col min="12807" max="12807" width="5.875" style="1" customWidth="1"/>
    <col min="12808" max="12808" width="4.125" style="1" customWidth="1"/>
    <col min="12809" max="12809" width="10.125" style="1" customWidth="1"/>
    <col min="12810" max="12810" width="4.5" style="1" customWidth="1"/>
    <col min="12811" max="12811" width="4.75" style="1" customWidth="1"/>
    <col min="12812" max="12812" width="4.5" style="1" customWidth="1"/>
    <col min="12813" max="12813" width="8.5" style="1" customWidth="1"/>
    <col min="12814" max="12814" width="8.375" style="1" customWidth="1"/>
    <col min="12815" max="12815" width="8.5" style="1" customWidth="1"/>
    <col min="12816" max="12816" width="10.375" style="1" customWidth="1"/>
    <col min="12817" max="12817" width="10.125" style="1" customWidth="1"/>
    <col min="12818" max="12818" width="10.25" style="1" customWidth="1"/>
    <col min="12819" max="13059" width="9" style="1"/>
    <col min="13060" max="13060" width="3.75" style="1" customWidth="1"/>
    <col min="13061" max="13061" width="28.25" style="1" customWidth="1"/>
    <col min="13062" max="13062" width="6.75" style="1" customWidth="1"/>
    <col min="13063" max="13063" width="5.875" style="1" customWidth="1"/>
    <col min="13064" max="13064" width="4.125" style="1" customWidth="1"/>
    <col min="13065" max="13065" width="10.125" style="1" customWidth="1"/>
    <col min="13066" max="13066" width="4.5" style="1" customWidth="1"/>
    <col min="13067" max="13067" width="4.75" style="1" customWidth="1"/>
    <col min="13068" max="13068" width="4.5" style="1" customWidth="1"/>
    <col min="13069" max="13069" width="8.5" style="1" customWidth="1"/>
    <col min="13070" max="13070" width="8.375" style="1" customWidth="1"/>
    <col min="13071" max="13071" width="8.5" style="1" customWidth="1"/>
    <col min="13072" max="13072" width="10.375" style="1" customWidth="1"/>
    <col min="13073" max="13073" width="10.125" style="1" customWidth="1"/>
    <col min="13074" max="13074" width="10.25" style="1" customWidth="1"/>
    <col min="13075" max="13315" width="9" style="1"/>
    <col min="13316" max="13316" width="3.75" style="1" customWidth="1"/>
    <col min="13317" max="13317" width="28.25" style="1" customWidth="1"/>
    <col min="13318" max="13318" width="6.75" style="1" customWidth="1"/>
    <col min="13319" max="13319" width="5.875" style="1" customWidth="1"/>
    <col min="13320" max="13320" width="4.125" style="1" customWidth="1"/>
    <col min="13321" max="13321" width="10.125" style="1" customWidth="1"/>
    <col min="13322" max="13322" width="4.5" style="1" customWidth="1"/>
    <col min="13323" max="13323" width="4.75" style="1" customWidth="1"/>
    <col min="13324" max="13324" width="4.5" style="1" customWidth="1"/>
    <col min="13325" max="13325" width="8.5" style="1" customWidth="1"/>
    <col min="13326" max="13326" width="8.375" style="1" customWidth="1"/>
    <col min="13327" max="13327" width="8.5" style="1" customWidth="1"/>
    <col min="13328" max="13328" width="10.375" style="1" customWidth="1"/>
    <col min="13329" max="13329" width="10.125" style="1" customWidth="1"/>
    <col min="13330" max="13330" width="10.25" style="1" customWidth="1"/>
    <col min="13331" max="13571" width="9" style="1"/>
    <col min="13572" max="13572" width="3.75" style="1" customWidth="1"/>
    <col min="13573" max="13573" width="28.25" style="1" customWidth="1"/>
    <col min="13574" max="13574" width="6.75" style="1" customWidth="1"/>
    <col min="13575" max="13575" width="5.875" style="1" customWidth="1"/>
    <col min="13576" max="13576" width="4.125" style="1" customWidth="1"/>
    <col min="13577" max="13577" width="10.125" style="1" customWidth="1"/>
    <col min="13578" max="13578" width="4.5" style="1" customWidth="1"/>
    <col min="13579" max="13579" width="4.75" style="1" customWidth="1"/>
    <col min="13580" max="13580" width="4.5" style="1" customWidth="1"/>
    <col min="13581" max="13581" width="8.5" style="1" customWidth="1"/>
    <col min="13582" max="13582" width="8.375" style="1" customWidth="1"/>
    <col min="13583" max="13583" width="8.5" style="1" customWidth="1"/>
    <col min="13584" max="13584" width="10.375" style="1" customWidth="1"/>
    <col min="13585" max="13585" width="10.125" style="1" customWidth="1"/>
    <col min="13586" max="13586" width="10.25" style="1" customWidth="1"/>
    <col min="13587" max="13827" width="9" style="1"/>
    <col min="13828" max="13828" width="3.75" style="1" customWidth="1"/>
    <col min="13829" max="13829" width="28.25" style="1" customWidth="1"/>
    <col min="13830" max="13830" width="6.75" style="1" customWidth="1"/>
    <col min="13831" max="13831" width="5.875" style="1" customWidth="1"/>
    <col min="13832" max="13832" width="4.125" style="1" customWidth="1"/>
    <col min="13833" max="13833" width="10.125" style="1" customWidth="1"/>
    <col min="13834" max="13834" width="4.5" style="1" customWidth="1"/>
    <col min="13835" max="13835" width="4.75" style="1" customWidth="1"/>
    <col min="13836" max="13836" width="4.5" style="1" customWidth="1"/>
    <col min="13837" max="13837" width="8.5" style="1" customWidth="1"/>
    <col min="13838" max="13838" width="8.375" style="1" customWidth="1"/>
    <col min="13839" max="13839" width="8.5" style="1" customWidth="1"/>
    <col min="13840" max="13840" width="10.375" style="1" customWidth="1"/>
    <col min="13841" max="13841" width="10.125" style="1" customWidth="1"/>
    <col min="13842" max="13842" width="10.25" style="1" customWidth="1"/>
    <col min="13843" max="14083" width="9" style="1"/>
    <col min="14084" max="14084" width="3.75" style="1" customWidth="1"/>
    <col min="14085" max="14085" width="28.25" style="1" customWidth="1"/>
    <col min="14086" max="14086" width="6.75" style="1" customWidth="1"/>
    <col min="14087" max="14087" width="5.875" style="1" customWidth="1"/>
    <col min="14088" max="14088" width="4.125" style="1" customWidth="1"/>
    <col min="14089" max="14089" width="10.125" style="1" customWidth="1"/>
    <col min="14090" max="14090" width="4.5" style="1" customWidth="1"/>
    <col min="14091" max="14091" width="4.75" style="1" customWidth="1"/>
    <col min="14092" max="14092" width="4.5" style="1" customWidth="1"/>
    <col min="14093" max="14093" width="8.5" style="1" customWidth="1"/>
    <col min="14094" max="14094" width="8.375" style="1" customWidth="1"/>
    <col min="14095" max="14095" width="8.5" style="1" customWidth="1"/>
    <col min="14096" max="14096" width="10.375" style="1" customWidth="1"/>
    <col min="14097" max="14097" width="10.125" style="1" customWidth="1"/>
    <col min="14098" max="14098" width="10.25" style="1" customWidth="1"/>
    <col min="14099" max="14339" width="9" style="1"/>
    <col min="14340" max="14340" width="3.75" style="1" customWidth="1"/>
    <col min="14341" max="14341" width="28.25" style="1" customWidth="1"/>
    <col min="14342" max="14342" width="6.75" style="1" customWidth="1"/>
    <col min="14343" max="14343" width="5.875" style="1" customWidth="1"/>
    <col min="14344" max="14344" width="4.125" style="1" customWidth="1"/>
    <col min="14345" max="14345" width="10.125" style="1" customWidth="1"/>
    <col min="14346" max="14346" width="4.5" style="1" customWidth="1"/>
    <col min="14347" max="14347" width="4.75" style="1" customWidth="1"/>
    <col min="14348" max="14348" width="4.5" style="1" customWidth="1"/>
    <col min="14349" max="14349" width="8.5" style="1" customWidth="1"/>
    <col min="14350" max="14350" width="8.375" style="1" customWidth="1"/>
    <col min="14351" max="14351" width="8.5" style="1" customWidth="1"/>
    <col min="14352" max="14352" width="10.375" style="1" customWidth="1"/>
    <col min="14353" max="14353" width="10.125" style="1" customWidth="1"/>
    <col min="14354" max="14354" width="10.25" style="1" customWidth="1"/>
    <col min="14355" max="14595" width="9" style="1"/>
    <col min="14596" max="14596" width="3.75" style="1" customWidth="1"/>
    <col min="14597" max="14597" width="28.25" style="1" customWidth="1"/>
    <col min="14598" max="14598" width="6.75" style="1" customWidth="1"/>
    <col min="14599" max="14599" width="5.875" style="1" customWidth="1"/>
    <col min="14600" max="14600" width="4.125" style="1" customWidth="1"/>
    <col min="14601" max="14601" width="10.125" style="1" customWidth="1"/>
    <col min="14602" max="14602" width="4.5" style="1" customWidth="1"/>
    <col min="14603" max="14603" width="4.75" style="1" customWidth="1"/>
    <col min="14604" max="14604" width="4.5" style="1" customWidth="1"/>
    <col min="14605" max="14605" width="8.5" style="1" customWidth="1"/>
    <col min="14606" max="14606" width="8.375" style="1" customWidth="1"/>
    <col min="14607" max="14607" width="8.5" style="1" customWidth="1"/>
    <col min="14608" max="14608" width="10.375" style="1" customWidth="1"/>
    <col min="14609" max="14609" width="10.125" style="1" customWidth="1"/>
    <col min="14610" max="14610" width="10.25" style="1" customWidth="1"/>
    <col min="14611" max="14851" width="9" style="1"/>
    <col min="14852" max="14852" width="3.75" style="1" customWidth="1"/>
    <col min="14853" max="14853" width="28.25" style="1" customWidth="1"/>
    <col min="14854" max="14854" width="6.75" style="1" customWidth="1"/>
    <col min="14855" max="14855" width="5.875" style="1" customWidth="1"/>
    <col min="14856" max="14856" width="4.125" style="1" customWidth="1"/>
    <col min="14857" max="14857" width="10.125" style="1" customWidth="1"/>
    <col min="14858" max="14858" width="4.5" style="1" customWidth="1"/>
    <col min="14859" max="14859" width="4.75" style="1" customWidth="1"/>
    <col min="14860" max="14860" width="4.5" style="1" customWidth="1"/>
    <col min="14861" max="14861" width="8.5" style="1" customWidth="1"/>
    <col min="14862" max="14862" width="8.375" style="1" customWidth="1"/>
    <col min="14863" max="14863" width="8.5" style="1" customWidth="1"/>
    <col min="14864" max="14864" width="10.375" style="1" customWidth="1"/>
    <col min="14865" max="14865" width="10.125" style="1" customWidth="1"/>
    <col min="14866" max="14866" width="10.25" style="1" customWidth="1"/>
    <col min="14867" max="15107" width="9" style="1"/>
    <col min="15108" max="15108" width="3.75" style="1" customWidth="1"/>
    <col min="15109" max="15109" width="28.25" style="1" customWidth="1"/>
    <col min="15110" max="15110" width="6.75" style="1" customWidth="1"/>
    <col min="15111" max="15111" width="5.875" style="1" customWidth="1"/>
    <col min="15112" max="15112" width="4.125" style="1" customWidth="1"/>
    <col min="15113" max="15113" width="10.125" style="1" customWidth="1"/>
    <col min="15114" max="15114" width="4.5" style="1" customWidth="1"/>
    <col min="15115" max="15115" width="4.75" style="1" customWidth="1"/>
    <col min="15116" max="15116" width="4.5" style="1" customWidth="1"/>
    <col min="15117" max="15117" width="8.5" style="1" customWidth="1"/>
    <col min="15118" max="15118" width="8.375" style="1" customWidth="1"/>
    <col min="15119" max="15119" width="8.5" style="1" customWidth="1"/>
    <col min="15120" max="15120" width="10.375" style="1" customWidth="1"/>
    <col min="15121" max="15121" width="10.125" style="1" customWidth="1"/>
    <col min="15122" max="15122" width="10.25" style="1" customWidth="1"/>
    <col min="15123" max="15363" width="9" style="1"/>
    <col min="15364" max="15364" width="3.75" style="1" customWidth="1"/>
    <col min="15365" max="15365" width="28.25" style="1" customWidth="1"/>
    <col min="15366" max="15366" width="6.75" style="1" customWidth="1"/>
    <col min="15367" max="15367" width="5.875" style="1" customWidth="1"/>
    <col min="15368" max="15368" width="4.125" style="1" customWidth="1"/>
    <col min="15369" max="15369" width="10.125" style="1" customWidth="1"/>
    <col min="15370" max="15370" width="4.5" style="1" customWidth="1"/>
    <col min="15371" max="15371" width="4.75" style="1" customWidth="1"/>
    <col min="15372" max="15372" width="4.5" style="1" customWidth="1"/>
    <col min="15373" max="15373" width="8.5" style="1" customWidth="1"/>
    <col min="15374" max="15374" width="8.375" style="1" customWidth="1"/>
    <col min="15375" max="15375" width="8.5" style="1" customWidth="1"/>
    <col min="15376" max="15376" width="10.375" style="1" customWidth="1"/>
    <col min="15377" max="15377" width="10.125" style="1" customWidth="1"/>
    <col min="15378" max="15378" width="10.25" style="1" customWidth="1"/>
    <col min="15379" max="15619" width="9" style="1"/>
    <col min="15620" max="15620" width="3.75" style="1" customWidth="1"/>
    <col min="15621" max="15621" width="28.25" style="1" customWidth="1"/>
    <col min="15622" max="15622" width="6.75" style="1" customWidth="1"/>
    <col min="15623" max="15623" width="5.875" style="1" customWidth="1"/>
    <col min="15624" max="15624" width="4.125" style="1" customWidth="1"/>
    <col min="15625" max="15625" width="10.125" style="1" customWidth="1"/>
    <col min="15626" max="15626" width="4.5" style="1" customWidth="1"/>
    <col min="15627" max="15627" width="4.75" style="1" customWidth="1"/>
    <col min="15628" max="15628" width="4.5" style="1" customWidth="1"/>
    <col min="15629" max="15629" width="8.5" style="1" customWidth="1"/>
    <col min="15630" max="15630" width="8.375" style="1" customWidth="1"/>
    <col min="15631" max="15631" width="8.5" style="1" customWidth="1"/>
    <col min="15632" max="15632" width="10.375" style="1" customWidth="1"/>
    <col min="15633" max="15633" width="10.125" style="1" customWidth="1"/>
    <col min="15634" max="15634" width="10.25" style="1" customWidth="1"/>
    <col min="15635" max="15875" width="9" style="1"/>
    <col min="15876" max="15876" width="3.75" style="1" customWidth="1"/>
    <col min="15877" max="15877" width="28.25" style="1" customWidth="1"/>
    <col min="15878" max="15878" width="6.75" style="1" customWidth="1"/>
    <col min="15879" max="15879" width="5.875" style="1" customWidth="1"/>
    <col min="15880" max="15880" width="4.125" style="1" customWidth="1"/>
    <col min="15881" max="15881" width="10.125" style="1" customWidth="1"/>
    <col min="15882" max="15882" width="4.5" style="1" customWidth="1"/>
    <col min="15883" max="15883" width="4.75" style="1" customWidth="1"/>
    <col min="15884" max="15884" width="4.5" style="1" customWidth="1"/>
    <col min="15885" max="15885" width="8.5" style="1" customWidth="1"/>
    <col min="15886" max="15886" width="8.375" style="1" customWidth="1"/>
    <col min="15887" max="15887" width="8.5" style="1" customWidth="1"/>
    <col min="15888" max="15888" width="10.375" style="1" customWidth="1"/>
    <col min="15889" max="15889" width="10.125" style="1" customWidth="1"/>
    <col min="15890" max="15890" width="10.25" style="1" customWidth="1"/>
    <col min="15891" max="16131" width="9" style="1"/>
    <col min="16132" max="16132" width="3.75" style="1" customWidth="1"/>
    <col min="16133" max="16133" width="28.25" style="1" customWidth="1"/>
    <col min="16134" max="16134" width="6.75" style="1" customWidth="1"/>
    <col min="16135" max="16135" width="5.875" style="1" customWidth="1"/>
    <col min="16136" max="16136" width="4.125" style="1" customWidth="1"/>
    <col min="16137" max="16137" width="10.125" style="1" customWidth="1"/>
    <col min="16138" max="16138" width="4.5" style="1" customWidth="1"/>
    <col min="16139" max="16139" width="4.75" style="1" customWidth="1"/>
    <col min="16140" max="16140" width="4.5" style="1" customWidth="1"/>
    <col min="16141" max="16141" width="8.5" style="1" customWidth="1"/>
    <col min="16142" max="16142" width="8.375" style="1" customWidth="1"/>
    <col min="16143" max="16143" width="8.5" style="1" customWidth="1"/>
    <col min="16144" max="16144" width="10.375" style="1" customWidth="1"/>
    <col min="16145" max="16145" width="10.125" style="1" customWidth="1"/>
    <col min="16146" max="16146" width="10.25" style="1" customWidth="1"/>
    <col min="16147" max="16384" width="9" style="1"/>
  </cols>
  <sheetData>
    <row r="1" spans="1:19" s="99" customFormat="1" ht="15.75" x14ac:dyDescent="0.25">
      <c r="A1" s="99" t="s">
        <v>199</v>
      </c>
    </row>
    <row r="2" spans="1:19" s="99" customFormat="1" ht="15.75" x14ac:dyDescent="0.25">
      <c r="A2" s="99" t="s">
        <v>0</v>
      </c>
      <c r="B2" s="99" t="s">
        <v>1</v>
      </c>
    </row>
    <row r="3" spans="1:19" s="99" customFormat="1" ht="15.75" x14ac:dyDescent="0.25">
      <c r="B3" s="99" t="s">
        <v>2</v>
      </c>
    </row>
    <row r="4" spans="1:19" s="99" customFormat="1" ht="15.75" x14ac:dyDescent="0.25">
      <c r="B4" s="99" t="s">
        <v>3</v>
      </c>
    </row>
    <row r="5" spans="1:19" ht="8.25" customHeight="1" x14ac:dyDescent="0.2">
      <c r="F5" s="1" t="s">
        <v>4</v>
      </c>
    </row>
    <row r="6" spans="1:19" x14ac:dyDescent="0.2">
      <c r="A6" s="476" t="s">
        <v>5</v>
      </c>
      <c r="B6" s="476" t="s">
        <v>6</v>
      </c>
      <c r="C6" s="2" t="s">
        <v>7</v>
      </c>
      <c r="D6" s="3" t="s">
        <v>8</v>
      </c>
      <c r="E6" s="479" t="s">
        <v>43</v>
      </c>
      <c r="F6" s="480"/>
      <c r="G6" s="479" t="s">
        <v>61</v>
      </c>
      <c r="H6" s="481"/>
      <c r="I6" s="480"/>
      <c r="J6" s="479" t="s">
        <v>57</v>
      </c>
      <c r="K6" s="481"/>
      <c r="L6" s="480"/>
      <c r="M6" s="482" t="s">
        <v>63</v>
      </c>
      <c r="N6" s="483"/>
      <c r="O6" s="484"/>
      <c r="P6" s="482" t="s">
        <v>64</v>
      </c>
      <c r="Q6" s="483"/>
      <c r="R6" s="484"/>
      <c r="S6" s="476" t="s">
        <v>59</v>
      </c>
    </row>
    <row r="7" spans="1:19" x14ac:dyDescent="0.2">
      <c r="A7" s="478"/>
      <c r="B7" s="478"/>
      <c r="C7" s="4" t="s">
        <v>9</v>
      </c>
      <c r="D7" s="5" t="s">
        <v>10</v>
      </c>
      <c r="E7" s="6" t="s">
        <v>8</v>
      </c>
      <c r="F7" s="476" t="s">
        <v>60</v>
      </c>
      <c r="G7" s="488" t="s">
        <v>62</v>
      </c>
      <c r="H7" s="489"/>
      <c r="I7" s="490"/>
      <c r="J7" s="488" t="s">
        <v>58</v>
      </c>
      <c r="K7" s="489"/>
      <c r="L7" s="490"/>
      <c r="M7" s="485"/>
      <c r="N7" s="486"/>
      <c r="O7" s="487"/>
      <c r="P7" s="485"/>
      <c r="Q7" s="486"/>
      <c r="R7" s="487"/>
      <c r="S7" s="491"/>
    </row>
    <row r="8" spans="1:19" x14ac:dyDescent="0.2">
      <c r="A8" s="478"/>
      <c r="B8" s="478"/>
      <c r="C8" s="7"/>
      <c r="D8" s="8"/>
      <c r="E8" s="9" t="s">
        <v>42</v>
      </c>
      <c r="F8" s="477"/>
      <c r="G8" s="13" t="s">
        <v>240</v>
      </c>
      <c r="H8" s="10" t="s">
        <v>241</v>
      </c>
      <c r="I8" s="10" t="s">
        <v>242</v>
      </c>
      <c r="J8" s="10">
        <v>2558</v>
      </c>
      <c r="K8" s="10">
        <v>2559</v>
      </c>
      <c r="L8" s="10">
        <v>2560</v>
      </c>
      <c r="M8" s="302" t="s">
        <v>236</v>
      </c>
      <c r="N8" s="302" t="s">
        <v>238</v>
      </c>
      <c r="O8" s="302" t="s">
        <v>239</v>
      </c>
      <c r="P8" s="302" t="s">
        <v>236</v>
      </c>
      <c r="Q8" s="302" t="s">
        <v>238</v>
      </c>
      <c r="R8" s="302" t="s">
        <v>239</v>
      </c>
      <c r="S8" s="477"/>
    </row>
    <row r="9" spans="1:19" x14ac:dyDescent="0.2">
      <c r="A9" s="10">
        <v>1</v>
      </c>
      <c r="B9" s="11" t="s">
        <v>260</v>
      </c>
      <c r="C9" s="296" t="s">
        <v>261</v>
      </c>
      <c r="D9" s="10">
        <v>1</v>
      </c>
      <c r="E9" s="10">
        <v>1</v>
      </c>
      <c r="F9" s="12">
        <f>((31290*6)+(31290*6))+((5600*3)+(7000*9))</f>
        <v>455280</v>
      </c>
      <c r="G9" s="13">
        <v>1</v>
      </c>
      <c r="H9" s="13">
        <v>1</v>
      </c>
      <c r="I9" s="13">
        <v>1</v>
      </c>
      <c r="J9" s="14">
        <v>0</v>
      </c>
      <c r="K9" s="14">
        <v>0</v>
      </c>
      <c r="L9" s="14">
        <v>0</v>
      </c>
      <c r="M9" s="12">
        <f>(30690-29510)*12</f>
        <v>14160</v>
      </c>
      <c r="N9" s="12">
        <f>(31900-31290)*6</f>
        <v>3660</v>
      </c>
      <c r="O9" s="12">
        <f>(33140-31900)*12</f>
        <v>14880</v>
      </c>
      <c r="P9" s="15">
        <v>502680</v>
      </c>
      <c r="Q9" s="15">
        <f>F9+N9</f>
        <v>458940</v>
      </c>
      <c r="R9" s="15">
        <f>Q9+O9</f>
        <v>473820</v>
      </c>
      <c r="S9" s="16"/>
    </row>
    <row r="10" spans="1:19" x14ac:dyDescent="0.2">
      <c r="A10" s="17">
        <v>2</v>
      </c>
      <c r="B10" s="22" t="s">
        <v>262</v>
      </c>
      <c r="C10" s="297" t="s">
        <v>263</v>
      </c>
      <c r="D10" s="17">
        <v>1</v>
      </c>
      <c r="E10" s="17" t="s">
        <v>175</v>
      </c>
      <c r="F10" s="18">
        <f>350370+42000</f>
        <v>392370</v>
      </c>
      <c r="G10" s="19">
        <v>1</v>
      </c>
      <c r="H10" s="19">
        <v>1</v>
      </c>
      <c r="I10" s="19">
        <v>1</v>
      </c>
      <c r="J10" s="20">
        <v>0</v>
      </c>
      <c r="K10" s="20" t="s">
        <v>175</v>
      </c>
      <c r="L10" s="20">
        <v>0</v>
      </c>
      <c r="M10" s="18">
        <f>(22490-21620)*12</f>
        <v>10440</v>
      </c>
      <c r="N10" s="25">
        <f>(((13910-13160)/2)*6)+(((36640-35540)/2)*6)+(((16700-15850)/2)*6)+(((51140-49480)/2)*6)</f>
        <v>13080</v>
      </c>
      <c r="O10" s="25">
        <f>(((13910-13160)/2)*6)+(((36640-35540)/2)*6)+(((16700-15850)/2)*6)+(((51140-49480)/2)*6)</f>
        <v>13080</v>
      </c>
      <c r="P10" s="21">
        <v>311880</v>
      </c>
      <c r="Q10" s="21">
        <f>F10+N10</f>
        <v>405450</v>
      </c>
      <c r="R10" s="21">
        <f>Q10+O10</f>
        <v>418530</v>
      </c>
      <c r="S10" s="22"/>
    </row>
    <row r="11" spans="1:19" x14ac:dyDescent="0.2">
      <c r="A11" s="23"/>
      <c r="B11" s="24" t="s">
        <v>69</v>
      </c>
      <c r="C11" s="297"/>
      <c r="D11" s="23"/>
      <c r="E11" s="23"/>
      <c r="F11" s="52"/>
      <c r="G11" s="26"/>
      <c r="H11" s="26"/>
      <c r="I11" s="26"/>
      <c r="J11" s="26"/>
      <c r="K11" s="26"/>
      <c r="L11" s="26"/>
      <c r="M11" s="25"/>
      <c r="N11" s="25"/>
      <c r="O11" s="25"/>
      <c r="P11" s="21"/>
      <c r="Q11" s="21"/>
      <c r="R11" s="21"/>
      <c r="S11" s="22"/>
    </row>
    <row r="12" spans="1:19" x14ac:dyDescent="0.2">
      <c r="A12" s="23">
        <v>3</v>
      </c>
      <c r="B12" s="22" t="s">
        <v>264</v>
      </c>
      <c r="C12" s="297" t="s">
        <v>265</v>
      </c>
      <c r="D12" s="23">
        <v>1</v>
      </c>
      <c r="E12" s="26">
        <v>1</v>
      </c>
      <c r="F12" s="25">
        <f>((26980*6)+(26980*6))+((3500*3)+(3500*9))</f>
        <v>365760</v>
      </c>
      <c r="G12" s="26">
        <v>1</v>
      </c>
      <c r="H12" s="26">
        <v>1</v>
      </c>
      <c r="I12" s="26">
        <v>1</v>
      </c>
      <c r="J12" s="27">
        <v>0</v>
      </c>
      <c r="K12" s="27">
        <v>0</v>
      </c>
      <c r="L12" s="27">
        <v>0</v>
      </c>
      <c r="M12" s="25">
        <f>(28030-26980)*12</f>
        <v>12600</v>
      </c>
      <c r="N12" s="25">
        <f>(27480-26980)*6</f>
        <v>3000</v>
      </c>
      <c r="O12" s="25">
        <f>(28560-27480)*12</f>
        <v>12960</v>
      </c>
      <c r="P12" s="21">
        <f t="shared" ref="P12" si="0">F12+M12</f>
        <v>378360</v>
      </c>
      <c r="Q12" s="21">
        <f>F12+N12</f>
        <v>368760</v>
      </c>
      <c r="R12" s="21">
        <f t="shared" ref="R12" si="1">Q12+O12</f>
        <v>381720</v>
      </c>
      <c r="S12" s="22"/>
    </row>
    <row r="13" spans="1:19" x14ac:dyDescent="0.2">
      <c r="A13" s="23">
        <v>4</v>
      </c>
      <c r="B13" s="22" t="s">
        <v>266</v>
      </c>
      <c r="C13" s="297" t="s">
        <v>267</v>
      </c>
      <c r="D13" s="23">
        <v>1</v>
      </c>
      <c r="E13" s="23">
        <v>1</v>
      </c>
      <c r="F13" s="25">
        <f>((22040*6)+(22170*6))</f>
        <v>265260</v>
      </c>
      <c r="G13" s="26">
        <v>1</v>
      </c>
      <c r="H13" s="26">
        <v>1</v>
      </c>
      <c r="I13" s="26">
        <v>1</v>
      </c>
      <c r="J13" s="27">
        <v>0</v>
      </c>
      <c r="K13" s="27">
        <v>0</v>
      </c>
      <c r="L13" s="27">
        <v>0</v>
      </c>
      <c r="M13" s="25">
        <f>(18950-18230)*12</f>
        <v>8640</v>
      </c>
      <c r="N13" s="25">
        <f>(22620-22170)*6</f>
        <v>2700</v>
      </c>
      <c r="O13" s="25">
        <f>(23550-22620)*12</f>
        <v>11160</v>
      </c>
      <c r="P13" s="21">
        <v>227400</v>
      </c>
      <c r="Q13" s="21">
        <f t="shared" ref="Q13:Q22" si="2">F13+N13</f>
        <v>267960</v>
      </c>
      <c r="R13" s="21">
        <f t="shared" ref="R13" si="3">Q13+O13</f>
        <v>279120</v>
      </c>
      <c r="S13" s="22"/>
    </row>
    <row r="14" spans="1:19" x14ac:dyDescent="0.2">
      <c r="A14" s="23">
        <v>5</v>
      </c>
      <c r="B14" s="22" t="s">
        <v>16</v>
      </c>
      <c r="C14" s="297" t="s">
        <v>267</v>
      </c>
      <c r="D14" s="23">
        <v>1</v>
      </c>
      <c r="E14" s="23">
        <v>1</v>
      </c>
      <c r="F14" s="25">
        <f>((23080*6)+(23080*6))</f>
        <v>276960</v>
      </c>
      <c r="G14" s="26">
        <v>1</v>
      </c>
      <c r="H14" s="26">
        <v>1</v>
      </c>
      <c r="I14" s="26">
        <v>1</v>
      </c>
      <c r="J14" s="27">
        <v>0</v>
      </c>
      <c r="K14" s="27">
        <v>0</v>
      </c>
      <c r="L14" s="27">
        <v>0</v>
      </c>
      <c r="M14" s="25">
        <f>(19970-19200)*12</f>
        <v>9240</v>
      </c>
      <c r="N14" s="25">
        <f>(23550-23080)*6</f>
        <v>2820</v>
      </c>
      <c r="O14" s="25">
        <f>(24490-23550)*12</f>
        <v>11280</v>
      </c>
      <c r="P14" s="21">
        <v>239640</v>
      </c>
      <c r="Q14" s="21">
        <f t="shared" si="2"/>
        <v>279780</v>
      </c>
      <c r="R14" s="21">
        <f t="shared" ref="R14" si="4">Q14+O14</f>
        <v>291060</v>
      </c>
      <c r="S14" s="22"/>
    </row>
    <row r="15" spans="1:19" x14ac:dyDescent="0.2">
      <c r="A15" s="23">
        <v>6</v>
      </c>
      <c r="B15" s="22" t="s">
        <v>14</v>
      </c>
      <c r="C15" s="297" t="s">
        <v>268</v>
      </c>
      <c r="D15" s="23">
        <v>1</v>
      </c>
      <c r="E15" s="23" t="s">
        <v>175</v>
      </c>
      <c r="F15" s="25">
        <f>(((7140+36640)/2)*6)+(((9740+49480)/2)*6)</f>
        <v>309000</v>
      </c>
      <c r="G15" s="26">
        <v>1</v>
      </c>
      <c r="H15" s="26">
        <v>1</v>
      </c>
      <c r="I15" s="26">
        <v>1</v>
      </c>
      <c r="J15" s="27">
        <v>0</v>
      </c>
      <c r="K15" s="27">
        <v>0</v>
      </c>
      <c r="L15" s="27">
        <v>0</v>
      </c>
      <c r="M15" s="25">
        <f>(18790-18190)*12</f>
        <v>7200</v>
      </c>
      <c r="N15" s="25">
        <f>(((7530-7140)/2)*6)+(((36640-35540)/2)*6)+(((10250-9740)/2)*6)+(((49480-47990)/2)*6)</f>
        <v>10470</v>
      </c>
      <c r="O15" s="25">
        <f>(((7530-7140)/2)*6)+(((36640-35540)/2)*6)+(((10250-9740)/2)*6)+(((49480-47990)/2)*6)</f>
        <v>10470</v>
      </c>
      <c r="P15" s="21">
        <v>225480</v>
      </c>
      <c r="Q15" s="21">
        <f t="shared" si="2"/>
        <v>319470</v>
      </c>
      <c r="R15" s="21">
        <f t="shared" ref="R15" si="5">Q15+O15</f>
        <v>329940</v>
      </c>
      <c r="S15" s="22"/>
    </row>
    <row r="16" spans="1:19" x14ac:dyDescent="0.2">
      <c r="A16" s="23">
        <v>7</v>
      </c>
      <c r="B16" s="22" t="s">
        <v>271</v>
      </c>
      <c r="C16" s="297" t="s">
        <v>267</v>
      </c>
      <c r="D16" s="23">
        <v>1</v>
      </c>
      <c r="E16" s="23">
        <v>1</v>
      </c>
      <c r="F16" s="25">
        <f>((26580*6)+(26980*6))</f>
        <v>321360</v>
      </c>
      <c r="G16" s="26">
        <v>1</v>
      </c>
      <c r="H16" s="26">
        <v>1</v>
      </c>
      <c r="I16" s="26">
        <v>1</v>
      </c>
      <c r="J16" s="27">
        <v>0</v>
      </c>
      <c r="K16" s="27">
        <v>0</v>
      </c>
      <c r="L16" s="27">
        <v>0</v>
      </c>
      <c r="M16" s="25">
        <f>(24270-23370)*12</f>
        <v>10800</v>
      </c>
      <c r="N16" s="25">
        <f>(27480-26980)*6</f>
        <v>3000</v>
      </c>
      <c r="O16" s="25">
        <f>(28030-26980)*12</f>
        <v>12600</v>
      </c>
      <c r="P16" s="21">
        <v>291240</v>
      </c>
      <c r="Q16" s="21">
        <f t="shared" si="2"/>
        <v>324360</v>
      </c>
      <c r="R16" s="21">
        <f t="shared" ref="R16" si="6">Q16+O16</f>
        <v>336960</v>
      </c>
      <c r="S16" s="22"/>
    </row>
    <row r="17" spans="1:19" x14ac:dyDescent="0.2">
      <c r="A17" s="23">
        <v>8</v>
      </c>
      <c r="B17" s="22" t="s">
        <v>54</v>
      </c>
      <c r="C17" s="297" t="s">
        <v>269</v>
      </c>
      <c r="D17" s="23">
        <v>1</v>
      </c>
      <c r="E17" s="268">
        <v>1</v>
      </c>
      <c r="F17" s="25">
        <f>((21140*6)+(21140*6))</f>
        <v>253680</v>
      </c>
      <c r="G17" s="26">
        <v>1</v>
      </c>
      <c r="H17" s="26">
        <v>1</v>
      </c>
      <c r="I17" s="26">
        <v>1</v>
      </c>
      <c r="J17" s="27">
        <v>0</v>
      </c>
      <c r="K17" s="27">
        <v>0</v>
      </c>
      <c r="L17" s="27">
        <v>0</v>
      </c>
      <c r="M17" s="25">
        <f>((7530-7140)+(33310-32270))/2*12</f>
        <v>8580</v>
      </c>
      <c r="N17" s="25">
        <f>(21500-21140)*6</f>
        <v>2160</v>
      </c>
      <c r="O17" s="25">
        <f>(22230-21500)*12</f>
        <v>8760</v>
      </c>
      <c r="P17" s="21">
        <v>251280</v>
      </c>
      <c r="Q17" s="21">
        <f t="shared" si="2"/>
        <v>255840</v>
      </c>
      <c r="R17" s="21">
        <f t="shared" ref="R17" si="7">Q17+O17</f>
        <v>264600</v>
      </c>
      <c r="S17" s="23"/>
    </row>
    <row r="18" spans="1:19" x14ac:dyDescent="0.2">
      <c r="A18" s="23">
        <v>9</v>
      </c>
      <c r="B18" s="22" t="s">
        <v>179</v>
      </c>
      <c r="C18" s="297" t="s">
        <v>268</v>
      </c>
      <c r="D18" s="268">
        <v>1</v>
      </c>
      <c r="E18" s="27" t="s">
        <v>175</v>
      </c>
      <c r="F18" s="25">
        <f>(((7140+36640)/2)*6)+(((9740+49480)/2)*6)</f>
        <v>309000</v>
      </c>
      <c r="G18" s="26">
        <v>1</v>
      </c>
      <c r="H18" s="26">
        <v>1</v>
      </c>
      <c r="I18" s="26">
        <v>1</v>
      </c>
      <c r="J18" s="27" t="s">
        <v>175</v>
      </c>
      <c r="K18" s="27">
        <v>0</v>
      </c>
      <c r="L18" s="27">
        <v>0</v>
      </c>
      <c r="M18" s="25">
        <f t="shared" ref="M18:M19" si="8">(7140+33310)/2*12</f>
        <v>242700</v>
      </c>
      <c r="N18" s="25">
        <f>(((7530-7140)/2)*6)+(((36640-35540)/2)*6)+(((10250-9740)/2)*6)+(((49480-47990)/2)*6)</f>
        <v>10470</v>
      </c>
      <c r="O18" s="25">
        <f>(((7530-7140)/2)*6)+(((36640-35540)/2)*6)+(((10250-9740)/2)*6)+(((49480-47990)/2)*6)</f>
        <v>10470</v>
      </c>
      <c r="P18" s="21">
        <v>242700</v>
      </c>
      <c r="Q18" s="21">
        <f t="shared" si="2"/>
        <v>319470</v>
      </c>
      <c r="R18" s="21">
        <f t="shared" ref="R18:R19" si="9">Q18+O18</f>
        <v>329940</v>
      </c>
      <c r="S18" s="23"/>
    </row>
    <row r="19" spans="1:19" x14ac:dyDescent="0.2">
      <c r="A19" s="23">
        <v>10</v>
      </c>
      <c r="B19" s="22" t="s">
        <v>273</v>
      </c>
      <c r="C19" s="297" t="s">
        <v>269</v>
      </c>
      <c r="D19" s="304">
        <v>1</v>
      </c>
      <c r="E19" s="304">
        <v>1</v>
      </c>
      <c r="F19" s="25">
        <f>((18480*6)+(18520*6))</f>
        <v>222000</v>
      </c>
      <c r="G19" s="26">
        <v>1</v>
      </c>
      <c r="H19" s="26">
        <v>1</v>
      </c>
      <c r="I19" s="26">
        <v>1</v>
      </c>
      <c r="J19" s="27" t="s">
        <v>175</v>
      </c>
      <c r="K19" s="27">
        <v>0</v>
      </c>
      <c r="L19" s="27">
        <v>0</v>
      </c>
      <c r="M19" s="25">
        <f t="shared" si="8"/>
        <v>242700</v>
      </c>
      <c r="N19" s="25">
        <f>(18840-18520)*6</f>
        <v>1920</v>
      </c>
      <c r="O19" s="25">
        <f>(19480-18840)*12</f>
        <v>7680</v>
      </c>
      <c r="P19" s="21">
        <v>242700</v>
      </c>
      <c r="Q19" s="21">
        <f t="shared" si="2"/>
        <v>223920</v>
      </c>
      <c r="R19" s="21">
        <f t="shared" si="9"/>
        <v>231600</v>
      </c>
      <c r="S19" s="23"/>
    </row>
    <row r="20" spans="1:19" x14ac:dyDescent="0.2">
      <c r="A20" s="23">
        <v>11</v>
      </c>
      <c r="B20" s="22" t="s">
        <v>15</v>
      </c>
      <c r="C20" s="298" t="s">
        <v>270</v>
      </c>
      <c r="D20" s="23">
        <v>1</v>
      </c>
      <c r="E20" s="27" t="s">
        <v>175</v>
      </c>
      <c r="F20" s="25">
        <v>256440</v>
      </c>
      <c r="G20" s="26">
        <v>1</v>
      </c>
      <c r="H20" s="26">
        <v>1</v>
      </c>
      <c r="I20" s="26">
        <v>1</v>
      </c>
      <c r="J20" s="27" t="s">
        <v>175</v>
      </c>
      <c r="K20" s="27">
        <v>0</v>
      </c>
      <c r="L20" s="27">
        <v>0</v>
      </c>
      <c r="M20" s="25">
        <f>((6140-5810)+(27350-26500))/2*12</f>
        <v>7080</v>
      </c>
      <c r="N20" s="25">
        <f>(((6140-5810)/2)*6)+(((30020-29130)/2)*6)+(((9090-8750)/2)*6)+(((40900-39620)/2)*6)</f>
        <v>8520</v>
      </c>
      <c r="O20" s="25">
        <f>(((6140-5810)/2)*6)+(((30020-29130)/2)*6)+(((9090-8750)/2)*6)+(((40900-39620)/2)*6)</f>
        <v>8520</v>
      </c>
      <c r="P20" s="21">
        <v>206040</v>
      </c>
      <c r="Q20" s="21">
        <f t="shared" si="2"/>
        <v>264960</v>
      </c>
      <c r="R20" s="21">
        <f t="shared" ref="R20" si="10">Q20+O20</f>
        <v>273480</v>
      </c>
      <c r="S20" s="23"/>
    </row>
    <row r="21" spans="1:19" x14ac:dyDescent="0.2">
      <c r="A21" s="23">
        <v>12</v>
      </c>
      <c r="B21" s="22" t="s">
        <v>196</v>
      </c>
      <c r="C21" s="298" t="s">
        <v>270</v>
      </c>
      <c r="D21" s="23">
        <v>1</v>
      </c>
      <c r="E21" s="27" t="s">
        <v>175</v>
      </c>
      <c r="F21" s="25">
        <v>256440</v>
      </c>
      <c r="G21" s="26">
        <v>1</v>
      </c>
      <c r="H21" s="26">
        <v>1</v>
      </c>
      <c r="I21" s="26">
        <v>1</v>
      </c>
      <c r="J21" s="27" t="s">
        <v>175</v>
      </c>
      <c r="K21" s="27">
        <v>0</v>
      </c>
      <c r="L21" s="27">
        <v>0</v>
      </c>
      <c r="M21" s="25">
        <f>(5810+27350)/2*12</f>
        <v>198960</v>
      </c>
      <c r="N21" s="25">
        <f>(((6140-5810)/2)*6)+(((30020-29130)/2)*6)+(((9090-8750)/2)*6)+(((40900-39620)/2)*6)</f>
        <v>8520</v>
      </c>
      <c r="O21" s="25">
        <f>(((6140-5810)/2)*6)+(((30020-29130)/2)*6)+(((9090-8750)/2)*6)+(((40900-39620)/2)*6)</f>
        <v>8520</v>
      </c>
      <c r="P21" s="21">
        <v>198960</v>
      </c>
      <c r="Q21" s="21">
        <f t="shared" si="2"/>
        <v>264960</v>
      </c>
      <c r="R21" s="21">
        <f t="shared" ref="R21" si="11">Q21+O21</f>
        <v>273480</v>
      </c>
      <c r="S21" s="23"/>
    </row>
    <row r="22" spans="1:19" x14ac:dyDescent="0.2">
      <c r="A22" s="23">
        <v>13</v>
      </c>
      <c r="B22" s="22" t="s">
        <v>274</v>
      </c>
      <c r="C22" s="297" t="s">
        <v>272</v>
      </c>
      <c r="D22" s="23">
        <v>1</v>
      </c>
      <c r="E22" s="23">
        <v>1</v>
      </c>
      <c r="F22" s="25">
        <f>((11490*6)+(11510*6))</f>
        <v>138000</v>
      </c>
      <c r="G22" s="26">
        <v>1</v>
      </c>
      <c r="H22" s="26">
        <v>1</v>
      </c>
      <c r="I22" s="26">
        <v>1</v>
      </c>
      <c r="J22" s="27">
        <v>0</v>
      </c>
      <c r="K22" s="27">
        <v>0</v>
      </c>
      <c r="L22" s="27">
        <v>0</v>
      </c>
      <c r="M22" s="25">
        <f>(10770-10370)*12</f>
        <v>4800</v>
      </c>
      <c r="N22" s="25">
        <f>(11700-11510)*6</f>
        <v>1140</v>
      </c>
      <c r="O22" s="25">
        <f>(12220-11700)*12</f>
        <v>6240</v>
      </c>
      <c r="P22" s="21">
        <v>129240</v>
      </c>
      <c r="Q22" s="21">
        <f t="shared" si="2"/>
        <v>139140</v>
      </c>
      <c r="R22" s="21">
        <f>Q22+O22</f>
        <v>145380</v>
      </c>
      <c r="S22" s="22"/>
    </row>
    <row r="23" spans="1:19" x14ac:dyDescent="0.2">
      <c r="A23" s="23">
        <v>14</v>
      </c>
      <c r="B23" s="22" t="s">
        <v>55</v>
      </c>
      <c r="C23" s="297" t="s">
        <v>275</v>
      </c>
      <c r="D23" s="23">
        <v>1</v>
      </c>
      <c r="E23" s="23">
        <v>1</v>
      </c>
      <c r="F23" s="25">
        <v>0</v>
      </c>
      <c r="G23" s="26">
        <v>1</v>
      </c>
      <c r="H23" s="26">
        <v>1</v>
      </c>
      <c r="I23" s="26">
        <v>1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7">
        <v>0</v>
      </c>
      <c r="Q23" s="27">
        <v>0</v>
      </c>
      <c r="R23" s="27">
        <v>0</v>
      </c>
      <c r="S23" s="22"/>
    </row>
    <row r="24" spans="1:19" x14ac:dyDescent="0.2">
      <c r="A24" s="23">
        <v>15</v>
      </c>
      <c r="B24" s="22" t="s">
        <v>55</v>
      </c>
      <c r="C24" s="297" t="s">
        <v>275</v>
      </c>
      <c r="D24" s="23">
        <v>1</v>
      </c>
      <c r="E24" s="23">
        <v>1</v>
      </c>
      <c r="F24" s="25">
        <v>0</v>
      </c>
      <c r="G24" s="26">
        <v>1</v>
      </c>
      <c r="H24" s="26">
        <v>1</v>
      </c>
      <c r="I24" s="26">
        <v>1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7">
        <v>0</v>
      </c>
      <c r="Q24" s="27">
        <v>0</v>
      </c>
      <c r="R24" s="27">
        <v>0</v>
      </c>
      <c r="S24" s="22"/>
    </row>
    <row r="25" spans="1:19" x14ac:dyDescent="0.2">
      <c r="A25" s="23">
        <v>16</v>
      </c>
      <c r="B25" s="22" t="s">
        <v>55</v>
      </c>
      <c r="C25" s="297" t="s">
        <v>275</v>
      </c>
      <c r="D25" s="23">
        <v>1</v>
      </c>
      <c r="E25" s="23">
        <v>1</v>
      </c>
      <c r="F25" s="25">
        <v>0</v>
      </c>
      <c r="G25" s="26">
        <v>1</v>
      </c>
      <c r="H25" s="26">
        <v>1</v>
      </c>
      <c r="I25" s="26">
        <v>1</v>
      </c>
      <c r="J25" s="27">
        <v>0</v>
      </c>
      <c r="K25" s="27">
        <v>0</v>
      </c>
      <c r="L25" s="27">
        <v>0</v>
      </c>
      <c r="M25" s="27">
        <v>0</v>
      </c>
      <c r="N25" s="27">
        <v>0</v>
      </c>
      <c r="O25" s="27">
        <v>0</v>
      </c>
      <c r="P25" s="27">
        <v>0</v>
      </c>
      <c r="Q25" s="27">
        <v>0</v>
      </c>
      <c r="R25" s="27">
        <v>0</v>
      </c>
      <c r="S25" s="22"/>
    </row>
    <row r="26" spans="1:19" x14ac:dyDescent="0.2">
      <c r="A26" s="23">
        <v>17</v>
      </c>
      <c r="B26" s="22" t="s">
        <v>55</v>
      </c>
      <c r="C26" s="297" t="s">
        <v>275</v>
      </c>
      <c r="D26" s="23">
        <v>1</v>
      </c>
      <c r="E26" s="23">
        <v>1</v>
      </c>
      <c r="F26" s="25">
        <v>0</v>
      </c>
      <c r="G26" s="26">
        <v>1</v>
      </c>
      <c r="H26" s="26">
        <v>1</v>
      </c>
      <c r="I26" s="26">
        <v>1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31"/>
    </row>
    <row r="27" spans="1:19" x14ac:dyDescent="0.2">
      <c r="A27" s="23">
        <v>18</v>
      </c>
      <c r="B27" s="22" t="s">
        <v>55</v>
      </c>
      <c r="C27" s="297" t="s">
        <v>275</v>
      </c>
      <c r="D27" s="23">
        <v>1</v>
      </c>
      <c r="E27" s="23">
        <v>1</v>
      </c>
      <c r="F27" s="25">
        <v>0</v>
      </c>
      <c r="G27" s="26">
        <v>1</v>
      </c>
      <c r="H27" s="26">
        <v>1</v>
      </c>
      <c r="I27" s="26">
        <v>1</v>
      </c>
      <c r="J27" s="27">
        <v>0</v>
      </c>
      <c r="K27" s="27">
        <v>0</v>
      </c>
      <c r="L27" s="27">
        <v>0</v>
      </c>
      <c r="M27" s="27">
        <v>0</v>
      </c>
      <c r="N27" s="27">
        <v>0</v>
      </c>
      <c r="O27" s="27">
        <v>0</v>
      </c>
      <c r="P27" s="27">
        <v>0</v>
      </c>
      <c r="Q27" s="27">
        <v>0</v>
      </c>
      <c r="R27" s="27">
        <v>0</v>
      </c>
      <c r="S27" s="31"/>
    </row>
    <row r="28" spans="1:19" x14ac:dyDescent="0.2">
      <c r="A28" s="50">
        <v>19</v>
      </c>
      <c r="B28" s="8" t="s">
        <v>55</v>
      </c>
      <c r="C28" s="299" t="s">
        <v>275</v>
      </c>
      <c r="D28" s="17">
        <v>1</v>
      </c>
      <c r="E28" s="17">
        <v>1</v>
      </c>
      <c r="F28" s="18">
        <v>0</v>
      </c>
      <c r="G28" s="19">
        <v>1</v>
      </c>
      <c r="H28" s="19">
        <v>1</v>
      </c>
      <c r="I28" s="19">
        <v>1</v>
      </c>
      <c r="J28" s="20">
        <v>0</v>
      </c>
      <c r="K28" s="20">
        <v>0</v>
      </c>
      <c r="L28" s="20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8"/>
    </row>
    <row r="29" spans="1:19" x14ac:dyDescent="0.2">
      <c r="A29" s="76">
        <v>20</v>
      </c>
      <c r="B29" s="77" t="s">
        <v>281</v>
      </c>
      <c r="C29" s="313" t="s">
        <v>282</v>
      </c>
      <c r="D29" s="76">
        <v>1</v>
      </c>
      <c r="E29" s="314">
        <v>0</v>
      </c>
      <c r="F29" s="79"/>
      <c r="G29" s="315">
        <v>1</v>
      </c>
      <c r="H29" s="315">
        <v>1</v>
      </c>
      <c r="I29" s="315">
        <v>1</v>
      </c>
      <c r="J29" s="80">
        <v>0</v>
      </c>
      <c r="K29" s="80">
        <v>0</v>
      </c>
      <c r="L29" s="80">
        <v>0</v>
      </c>
      <c r="M29" s="80">
        <v>0</v>
      </c>
      <c r="N29" s="80">
        <v>0</v>
      </c>
      <c r="O29" s="80">
        <v>0</v>
      </c>
      <c r="P29" s="80">
        <v>0</v>
      </c>
      <c r="Q29" s="80">
        <v>0</v>
      </c>
      <c r="R29" s="80">
        <v>0</v>
      </c>
      <c r="S29" s="77"/>
    </row>
    <row r="30" spans="1:19" x14ac:dyDescent="0.2">
      <c r="A30" s="10"/>
      <c r="B30" s="33" t="s">
        <v>12</v>
      </c>
      <c r="C30" s="10"/>
      <c r="D30" s="10"/>
      <c r="E30" s="10"/>
      <c r="F30" s="12"/>
      <c r="G30" s="13"/>
      <c r="H30" s="13"/>
      <c r="I30" s="13"/>
      <c r="J30" s="13"/>
      <c r="K30" s="13"/>
      <c r="L30" s="13"/>
      <c r="M30" s="12"/>
      <c r="N30" s="12"/>
      <c r="O30" s="12"/>
      <c r="P30" s="34"/>
      <c r="Q30" s="34"/>
      <c r="R30" s="34"/>
      <c r="S30" s="8"/>
    </row>
    <row r="31" spans="1:19" x14ac:dyDescent="0.2">
      <c r="A31" s="28"/>
      <c r="B31" s="35" t="s">
        <v>41</v>
      </c>
      <c r="C31" s="29"/>
      <c r="D31" s="29"/>
      <c r="E31" s="29"/>
      <c r="F31" s="36"/>
      <c r="G31" s="29"/>
      <c r="H31" s="29"/>
      <c r="I31" s="29"/>
      <c r="J31" s="29"/>
      <c r="K31" s="29"/>
      <c r="L31" s="29"/>
      <c r="M31" s="36"/>
      <c r="N31" s="36"/>
      <c r="O31" s="36"/>
      <c r="P31" s="37"/>
      <c r="Q31" s="37"/>
      <c r="R31" s="37"/>
      <c r="S31" s="8"/>
    </row>
    <row r="32" spans="1:19" x14ac:dyDescent="0.2">
      <c r="A32" s="23">
        <v>21</v>
      </c>
      <c r="B32" s="22" t="s">
        <v>51</v>
      </c>
      <c r="C32" s="38"/>
      <c r="D32" s="273">
        <v>1</v>
      </c>
      <c r="E32" s="273">
        <v>1</v>
      </c>
      <c r="F32" s="39">
        <v>0</v>
      </c>
      <c r="G32" s="40">
        <v>1</v>
      </c>
      <c r="H32" s="40">
        <v>1</v>
      </c>
      <c r="I32" s="40">
        <v>1</v>
      </c>
      <c r="J32" s="41">
        <v>0</v>
      </c>
      <c r="K32" s="41">
        <v>0</v>
      </c>
      <c r="L32" s="41">
        <v>0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S32" s="22"/>
    </row>
    <row r="33" spans="1:20" x14ac:dyDescent="0.2">
      <c r="A33" s="23">
        <v>22</v>
      </c>
      <c r="B33" s="22" t="s">
        <v>50</v>
      </c>
      <c r="C33" s="38"/>
      <c r="D33" s="273">
        <v>1</v>
      </c>
      <c r="E33" s="273">
        <v>1</v>
      </c>
      <c r="F33" s="39">
        <v>0</v>
      </c>
      <c r="G33" s="40">
        <v>1</v>
      </c>
      <c r="H33" s="40">
        <v>1</v>
      </c>
      <c r="I33" s="40">
        <v>1</v>
      </c>
      <c r="J33" s="41">
        <v>0</v>
      </c>
      <c r="K33" s="41">
        <v>0</v>
      </c>
      <c r="L33" s="41">
        <v>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S33" s="22"/>
    </row>
    <row r="34" spans="1:20" x14ac:dyDescent="0.2">
      <c r="A34" s="23">
        <v>23</v>
      </c>
      <c r="B34" s="22" t="s">
        <v>50</v>
      </c>
      <c r="C34" s="38"/>
      <c r="D34" s="273">
        <v>1</v>
      </c>
      <c r="E34" s="273">
        <v>1</v>
      </c>
      <c r="F34" s="39">
        <v>0</v>
      </c>
      <c r="G34" s="40">
        <v>1</v>
      </c>
      <c r="H34" s="40">
        <v>1</v>
      </c>
      <c r="I34" s="40">
        <v>1</v>
      </c>
      <c r="J34" s="41">
        <v>0</v>
      </c>
      <c r="K34" s="41">
        <v>0</v>
      </c>
      <c r="L34" s="41">
        <v>0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S34" s="22"/>
    </row>
    <row r="35" spans="1:20" x14ac:dyDescent="0.2">
      <c r="A35" s="23">
        <v>24</v>
      </c>
      <c r="B35" s="22" t="s">
        <v>50</v>
      </c>
      <c r="C35" s="38"/>
      <c r="D35" s="273">
        <v>1</v>
      </c>
      <c r="E35" s="273">
        <v>1</v>
      </c>
      <c r="F35" s="39">
        <v>0</v>
      </c>
      <c r="G35" s="40">
        <v>1</v>
      </c>
      <c r="H35" s="40">
        <v>1</v>
      </c>
      <c r="I35" s="40">
        <v>1</v>
      </c>
      <c r="J35" s="41">
        <v>0</v>
      </c>
      <c r="K35" s="41">
        <v>0</v>
      </c>
      <c r="L35" s="41">
        <v>0</v>
      </c>
      <c r="M35" s="27">
        <v>0</v>
      </c>
      <c r="N35" s="27">
        <v>0</v>
      </c>
      <c r="O35" s="27">
        <v>0</v>
      </c>
      <c r="P35" s="27">
        <v>0</v>
      </c>
      <c r="Q35" s="54">
        <v>0</v>
      </c>
      <c r="R35" s="27">
        <v>0</v>
      </c>
      <c r="S35" s="22"/>
    </row>
    <row r="36" spans="1:20" x14ac:dyDescent="0.2">
      <c r="A36" s="23">
        <v>25</v>
      </c>
      <c r="B36" s="22" t="s">
        <v>52</v>
      </c>
      <c r="C36" s="38"/>
      <c r="D36" s="273">
        <v>1</v>
      </c>
      <c r="E36" s="273">
        <v>1</v>
      </c>
      <c r="F36" s="25">
        <f>16890*12</f>
        <v>202680</v>
      </c>
      <c r="G36" s="42">
        <v>1</v>
      </c>
      <c r="H36" s="42">
        <v>1</v>
      </c>
      <c r="I36" s="42">
        <v>1</v>
      </c>
      <c r="J36" s="42">
        <v>0</v>
      </c>
      <c r="K36" s="42">
        <v>0</v>
      </c>
      <c r="L36" s="42">
        <v>0</v>
      </c>
      <c r="M36" s="25">
        <f>(15000*4%)*12</f>
        <v>7200</v>
      </c>
      <c r="N36" s="25">
        <f>680*12</f>
        <v>8160</v>
      </c>
      <c r="O36" s="25">
        <f>710*12</f>
        <v>8520</v>
      </c>
      <c r="P36" s="21">
        <v>187200</v>
      </c>
      <c r="Q36" s="21">
        <f t="shared" ref="Q36:Q41" si="12">F36+N36</f>
        <v>210840</v>
      </c>
      <c r="R36" s="21">
        <f>Q36+O36</f>
        <v>219360</v>
      </c>
      <c r="S36" s="22"/>
    </row>
    <row r="37" spans="1:20" x14ac:dyDescent="0.2">
      <c r="A37" s="23">
        <v>26</v>
      </c>
      <c r="B37" s="22" t="s">
        <v>193</v>
      </c>
      <c r="C37" s="38"/>
      <c r="D37" s="273">
        <v>1</v>
      </c>
      <c r="E37" s="273" t="s">
        <v>175</v>
      </c>
      <c r="F37" s="25">
        <f>11500*12</f>
        <v>138000</v>
      </c>
      <c r="G37" s="42">
        <v>1</v>
      </c>
      <c r="H37" s="42">
        <v>1</v>
      </c>
      <c r="I37" s="42">
        <v>1</v>
      </c>
      <c r="J37" s="27" t="s">
        <v>175</v>
      </c>
      <c r="K37" s="42">
        <v>0</v>
      </c>
      <c r="L37" s="42">
        <v>0</v>
      </c>
      <c r="M37" s="25">
        <f>11500*12</f>
        <v>138000</v>
      </c>
      <c r="N37" s="25">
        <f>460*12</f>
        <v>5520</v>
      </c>
      <c r="O37" s="25">
        <f>480*12</f>
        <v>5760</v>
      </c>
      <c r="P37" s="21">
        <v>138000</v>
      </c>
      <c r="Q37" s="21">
        <f>F37+N37</f>
        <v>143520</v>
      </c>
      <c r="R37" s="21">
        <f>Q37+O37</f>
        <v>149280</v>
      </c>
      <c r="S37" s="23"/>
    </row>
    <row r="38" spans="1:20" x14ac:dyDescent="0.2">
      <c r="A38" s="23">
        <v>27</v>
      </c>
      <c r="B38" s="22" t="s">
        <v>49</v>
      </c>
      <c r="C38" s="38"/>
      <c r="D38" s="273">
        <v>1</v>
      </c>
      <c r="E38" s="273">
        <v>1</v>
      </c>
      <c r="F38" s="25">
        <f>12320*12</f>
        <v>147840</v>
      </c>
      <c r="G38" s="42">
        <v>1</v>
      </c>
      <c r="H38" s="42">
        <v>1</v>
      </c>
      <c r="I38" s="42">
        <v>1</v>
      </c>
      <c r="J38" s="42">
        <v>0</v>
      </c>
      <c r="K38" s="42">
        <v>0</v>
      </c>
      <c r="L38" s="42">
        <v>0</v>
      </c>
      <c r="M38" s="25">
        <f>430*12</f>
        <v>5160</v>
      </c>
      <c r="N38" s="25">
        <f>450*12</f>
        <v>5400</v>
      </c>
      <c r="O38" s="25">
        <f>470*12</f>
        <v>5640</v>
      </c>
      <c r="P38" s="21">
        <v>133320</v>
      </c>
      <c r="Q38" s="21">
        <f t="shared" si="12"/>
        <v>153240</v>
      </c>
      <c r="R38" s="21">
        <f t="shared" ref="R38" si="13">Q38+O38</f>
        <v>158880</v>
      </c>
      <c r="S38" s="23"/>
    </row>
    <row r="39" spans="1:20" x14ac:dyDescent="0.2">
      <c r="A39" s="23">
        <v>28</v>
      </c>
      <c r="B39" s="22" t="s">
        <v>48</v>
      </c>
      <c r="C39" s="42"/>
      <c r="D39" s="272">
        <v>1</v>
      </c>
      <c r="E39" s="272">
        <v>1</v>
      </c>
      <c r="F39" s="25">
        <f>11420*12</f>
        <v>137040</v>
      </c>
      <c r="G39" s="42">
        <v>1</v>
      </c>
      <c r="H39" s="42">
        <v>1</v>
      </c>
      <c r="I39" s="42">
        <v>1</v>
      </c>
      <c r="J39" s="42">
        <v>0</v>
      </c>
      <c r="K39" s="42">
        <v>0</v>
      </c>
      <c r="L39" s="42">
        <v>0</v>
      </c>
      <c r="M39" s="25">
        <f>400*12</f>
        <v>4800</v>
      </c>
      <c r="N39" s="25">
        <f>460*12</f>
        <v>5520</v>
      </c>
      <c r="O39" s="25">
        <f>480*12</f>
        <v>5760</v>
      </c>
      <c r="P39" s="21">
        <v>123600</v>
      </c>
      <c r="Q39" s="21">
        <f t="shared" si="12"/>
        <v>142560</v>
      </c>
      <c r="R39" s="21">
        <f t="shared" ref="R39" si="14">Q39+O39</f>
        <v>148320</v>
      </c>
      <c r="S39" s="23"/>
    </row>
    <row r="40" spans="1:20" x14ac:dyDescent="0.2">
      <c r="A40" s="23">
        <v>29</v>
      </c>
      <c r="B40" s="22" t="s">
        <v>53</v>
      </c>
      <c r="C40" s="42"/>
      <c r="D40" s="272">
        <v>1</v>
      </c>
      <c r="E40" s="272">
        <v>1</v>
      </c>
      <c r="F40" s="25">
        <f>10480*12</f>
        <v>125760</v>
      </c>
      <c r="G40" s="42">
        <v>1</v>
      </c>
      <c r="H40" s="42">
        <v>1</v>
      </c>
      <c r="I40" s="42">
        <v>1</v>
      </c>
      <c r="J40" s="42">
        <v>0</v>
      </c>
      <c r="K40" s="42">
        <v>0</v>
      </c>
      <c r="L40" s="42">
        <v>0</v>
      </c>
      <c r="M40" s="25">
        <f>380*12</f>
        <v>4560</v>
      </c>
      <c r="N40" s="25">
        <f>420*12</f>
        <v>5040</v>
      </c>
      <c r="O40" s="25">
        <f>440*12</f>
        <v>5280</v>
      </c>
      <c r="P40" s="21">
        <v>117360</v>
      </c>
      <c r="Q40" s="21">
        <f t="shared" si="12"/>
        <v>130800</v>
      </c>
      <c r="R40" s="21">
        <f t="shared" ref="R40" si="15">Q40+O40</f>
        <v>136080</v>
      </c>
      <c r="S40" s="23"/>
    </row>
    <row r="41" spans="1:20" x14ac:dyDescent="0.2">
      <c r="A41" s="76">
        <v>30</v>
      </c>
      <c r="B41" s="77" t="s">
        <v>194</v>
      </c>
      <c r="C41" s="78"/>
      <c r="D41" s="305">
        <v>1</v>
      </c>
      <c r="E41" s="305">
        <v>1</v>
      </c>
      <c r="F41" s="79">
        <f>9400*12</f>
        <v>112800</v>
      </c>
      <c r="G41" s="78">
        <v>1</v>
      </c>
      <c r="H41" s="78">
        <v>1</v>
      </c>
      <c r="I41" s="78">
        <v>1</v>
      </c>
      <c r="J41" s="80" t="s">
        <v>175</v>
      </c>
      <c r="K41" s="78">
        <v>0</v>
      </c>
      <c r="L41" s="78">
        <v>0</v>
      </c>
      <c r="M41" s="79">
        <f>9400*12</f>
        <v>112800</v>
      </c>
      <c r="N41" s="79">
        <f>380*12</f>
        <v>4560</v>
      </c>
      <c r="O41" s="79">
        <f>400*12</f>
        <v>4800</v>
      </c>
      <c r="P41" s="81">
        <v>112800</v>
      </c>
      <c r="Q41" s="81">
        <f t="shared" si="12"/>
        <v>117360</v>
      </c>
      <c r="R41" s="81">
        <f>Q41+O41</f>
        <v>122160</v>
      </c>
      <c r="S41" s="76"/>
      <c r="T41" s="300">
        <f>SUM(P9:P41)</f>
        <v>4259880</v>
      </c>
    </row>
    <row r="42" spans="1:20" ht="20.25" x14ac:dyDescent="0.2">
      <c r="A42" s="241"/>
      <c r="B42" s="82"/>
      <c r="C42" s="83"/>
      <c r="D42" s="83"/>
      <c r="E42" s="83"/>
      <c r="F42" s="84"/>
      <c r="G42" s="83"/>
      <c r="H42" s="83"/>
      <c r="I42" s="83"/>
      <c r="J42" s="85"/>
      <c r="K42" s="83"/>
      <c r="L42" s="83"/>
      <c r="M42" s="84"/>
      <c r="N42" s="84"/>
      <c r="O42" s="84"/>
      <c r="P42" s="86"/>
      <c r="Q42" s="86"/>
      <c r="R42" s="86"/>
      <c r="S42" s="276">
        <v>20</v>
      </c>
    </row>
    <row r="43" spans="1:20" x14ac:dyDescent="0.2">
      <c r="A43" s="240"/>
      <c r="B43" s="88"/>
      <c r="C43" s="89"/>
      <c r="D43" s="89"/>
      <c r="E43" s="89"/>
      <c r="F43" s="90"/>
      <c r="G43" s="89"/>
      <c r="H43" s="89"/>
      <c r="I43" s="89"/>
      <c r="J43" s="91"/>
      <c r="K43" s="89"/>
      <c r="L43" s="89"/>
      <c r="M43" s="90"/>
      <c r="N43" s="90"/>
      <c r="O43" s="90"/>
      <c r="P43" s="92"/>
      <c r="Q43" s="92"/>
      <c r="R43" s="92"/>
      <c r="S43" s="275"/>
    </row>
    <row r="44" spans="1:20" x14ac:dyDescent="0.2">
      <c r="A44" s="87"/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</row>
    <row r="45" spans="1:20" x14ac:dyDescent="0.2">
      <c r="A45" s="476" t="s">
        <v>5</v>
      </c>
      <c r="B45" s="476" t="s">
        <v>6</v>
      </c>
      <c r="C45" s="71" t="s">
        <v>7</v>
      </c>
      <c r="D45" s="73" t="s">
        <v>8</v>
      </c>
      <c r="E45" s="479" t="s">
        <v>43</v>
      </c>
      <c r="F45" s="480"/>
      <c r="G45" s="479" t="s">
        <v>61</v>
      </c>
      <c r="H45" s="481"/>
      <c r="I45" s="480"/>
      <c r="J45" s="479" t="s">
        <v>57</v>
      </c>
      <c r="K45" s="481"/>
      <c r="L45" s="480"/>
      <c r="M45" s="482" t="s">
        <v>63</v>
      </c>
      <c r="N45" s="483"/>
      <c r="O45" s="484"/>
      <c r="P45" s="482" t="s">
        <v>64</v>
      </c>
      <c r="Q45" s="483"/>
      <c r="R45" s="484"/>
      <c r="S45" s="476" t="s">
        <v>59</v>
      </c>
    </row>
    <row r="46" spans="1:20" x14ac:dyDescent="0.2">
      <c r="A46" s="478"/>
      <c r="B46" s="478"/>
      <c r="C46" s="72" t="s">
        <v>9</v>
      </c>
      <c r="D46" s="5" t="s">
        <v>10</v>
      </c>
      <c r="E46" s="6" t="s">
        <v>8</v>
      </c>
      <c r="F46" s="476" t="s">
        <v>60</v>
      </c>
      <c r="G46" s="488" t="s">
        <v>62</v>
      </c>
      <c r="H46" s="489"/>
      <c r="I46" s="490"/>
      <c r="J46" s="488" t="s">
        <v>58</v>
      </c>
      <c r="K46" s="489"/>
      <c r="L46" s="490"/>
      <c r="M46" s="485"/>
      <c r="N46" s="486"/>
      <c r="O46" s="487"/>
      <c r="P46" s="485"/>
      <c r="Q46" s="486"/>
      <c r="R46" s="487"/>
      <c r="S46" s="491"/>
    </row>
    <row r="47" spans="1:20" x14ac:dyDescent="0.2">
      <c r="A47" s="492"/>
      <c r="B47" s="492"/>
      <c r="C47" s="7"/>
      <c r="D47" s="32"/>
      <c r="E47" s="9" t="s">
        <v>42</v>
      </c>
      <c r="F47" s="477"/>
      <c r="G47" s="60" t="s">
        <v>240</v>
      </c>
      <c r="H47" s="60" t="s">
        <v>241</v>
      </c>
      <c r="I47" s="60" t="s">
        <v>242</v>
      </c>
      <c r="J47" s="60">
        <v>2558</v>
      </c>
      <c r="K47" s="60">
        <v>2559</v>
      </c>
      <c r="L47" s="60">
        <v>2560</v>
      </c>
      <c r="M47" s="301" t="s">
        <v>236</v>
      </c>
      <c r="N47" s="301" t="s">
        <v>238</v>
      </c>
      <c r="O47" s="301" t="s">
        <v>239</v>
      </c>
      <c r="P47" s="301" t="s">
        <v>236</v>
      </c>
      <c r="Q47" s="301" t="s">
        <v>238</v>
      </c>
      <c r="R47" s="301" t="s">
        <v>239</v>
      </c>
      <c r="S47" s="477"/>
    </row>
    <row r="48" spans="1:20" x14ac:dyDescent="0.2">
      <c r="A48" s="28"/>
      <c r="B48" s="35" t="s">
        <v>38</v>
      </c>
      <c r="C48" s="56"/>
      <c r="D48" s="5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18"/>
      <c r="R48" s="36"/>
      <c r="S48" s="16"/>
    </row>
    <row r="49" spans="1:19" x14ac:dyDescent="0.2">
      <c r="A49" s="23">
        <v>31</v>
      </c>
      <c r="B49" s="43" t="s">
        <v>46</v>
      </c>
      <c r="C49" s="42"/>
      <c r="D49" s="272">
        <v>1</v>
      </c>
      <c r="E49" s="273">
        <v>1</v>
      </c>
      <c r="F49" s="25">
        <f>12810*12</f>
        <v>153720</v>
      </c>
      <c r="G49" s="272">
        <v>1</v>
      </c>
      <c r="H49" s="272">
        <v>1</v>
      </c>
      <c r="I49" s="272">
        <v>1</v>
      </c>
      <c r="J49" s="42">
        <v>0</v>
      </c>
      <c r="K49" s="42">
        <v>0</v>
      </c>
      <c r="L49" s="42">
        <v>0</v>
      </c>
      <c r="M49" s="25">
        <f>450*12</f>
        <v>5400</v>
      </c>
      <c r="N49" s="25">
        <f>470*12</f>
        <v>5640</v>
      </c>
      <c r="O49" s="25">
        <f>490*12</f>
        <v>5880</v>
      </c>
      <c r="P49" s="21">
        <v>138720</v>
      </c>
      <c r="Q49" s="21">
        <f>F49+N49</f>
        <v>159360</v>
      </c>
      <c r="R49" s="21">
        <f t="shared" ref="R49" si="16">Q49+O49</f>
        <v>165240</v>
      </c>
      <c r="S49" s="22"/>
    </row>
    <row r="50" spans="1:19" x14ac:dyDescent="0.2">
      <c r="A50" s="23"/>
      <c r="B50" s="24" t="s">
        <v>36</v>
      </c>
      <c r="C50" s="38"/>
      <c r="D50" s="38"/>
      <c r="E50" s="25"/>
      <c r="F50" s="25"/>
      <c r="G50" s="42"/>
      <c r="H50" s="42"/>
      <c r="I50" s="42"/>
      <c r="J50" s="42"/>
      <c r="K50" s="42"/>
      <c r="L50" s="42"/>
      <c r="M50" s="25"/>
      <c r="N50" s="25"/>
      <c r="O50" s="25"/>
      <c r="P50" s="25"/>
      <c r="Q50" s="25"/>
      <c r="R50" s="25"/>
      <c r="S50" s="22"/>
    </row>
    <row r="51" spans="1:19" x14ac:dyDescent="0.2">
      <c r="A51" s="28">
        <v>32</v>
      </c>
      <c r="B51" s="22" t="s">
        <v>47</v>
      </c>
      <c r="C51" s="28"/>
      <c r="D51" s="28">
        <v>1</v>
      </c>
      <c r="E51" s="28">
        <v>1</v>
      </c>
      <c r="F51" s="36">
        <f>9000*12</f>
        <v>108000</v>
      </c>
      <c r="G51" s="29">
        <v>1</v>
      </c>
      <c r="H51" s="29">
        <v>1</v>
      </c>
      <c r="I51" s="29">
        <v>1</v>
      </c>
      <c r="J51" s="311">
        <v>0</v>
      </c>
      <c r="K51" s="30">
        <v>0</v>
      </c>
      <c r="L51" s="30">
        <v>0</v>
      </c>
      <c r="M51" s="30">
        <v>0</v>
      </c>
      <c r="N51" s="30">
        <v>0</v>
      </c>
      <c r="O51" s="30">
        <v>0</v>
      </c>
      <c r="P51" s="36">
        <f>9000*12</f>
        <v>108000</v>
      </c>
      <c r="Q51" s="36">
        <f t="shared" ref="P51:R55" si="17">9000*12</f>
        <v>108000</v>
      </c>
      <c r="R51" s="36">
        <f t="shared" si="17"/>
        <v>108000</v>
      </c>
      <c r="S51" s="22"/>
    </row>
    <row r="52" spans="1:19" x14ac:dyDescent="0.2">
      <c r="A52" s="28">
        <v>33</v>
      </c>
      <c r="B52" s="22" t="s">
        <v>47</v>
      </c>
      <c r="C52" s="28"/>
      <c r="D52" s="28">
        <v>1</v>
      </c>
      <c r="E52" s="28">
        <v>1</v>
      </c>
      <c r="F52" s="36">
        <f t="shared" ref="F52:F54" si="18">9000*12</f>
        <v>108000</v>
      </c>
      <c r="G52" s="29">
        <v>1</v>
      </c>
      <c r="H52" s="29">
        <v>1</v>
      </c>
      <c r="I52" s="29">
        <v>1</v>
      </c>
      <c r="J52" s="311">
        <v>0</v>
      </c>
      <c r="K52" s="30">
        <v>0</v>
      </c>
      <c r="L52" s="30">
        <v>0</v>
      </c>
      <c r="M52" s="30">
        <v>0</v>
      </c>
      <c r="N52" s="30">
        <v>0</v>
      </c>
      <c r="O52" s="30">
        <v>0</v>
      </c>
      <c r="P52" s="36">
        <f t="shared" si="17"/>
        <v>108000</v>
      </c>
      <c r="Q52" s="36">
        <f t="shared" si="17"/>
        <v>108000</v>
      </c>
      <c r="R52" s="36">
        <f t="shared" si="17"/>
        <v>108000</v>
      </c>
      <c r="S52" s="22"/>
    </row>
    <row r="53" spans="1:19" x14ac:dyDescent="0.2">
      <c r="A53" s="23">
        <v>34</v>
      </c>
      <c r="B53" s="22" t="s">
        <v>46</v>
      </c>
      <c r="C53" s="23"/>
      <c r="D53" s="28">
        <v>1</v>
      </c>
      <c r="E53" s="28">
        <v>1</v>
      </c>
      <c r="F53" s="36">
        <f t="shared" si="18"/>
        <v>108000</v>
      </c>
      <c r="G53" s="29">
        <v>1</v>
      </c>
      <c r="H53" s="29">
        <v>1</v>
      </c>
      <c r="I53" s="29">
        <v>1</v>
      </c>
      <c r="J53" s="311">
        <v>0</v>
      </c>
      <c r="K53" s="30">
        <v>0</v>
      </c>
      <c r="L53" s="30">
        <v>0</v>
      </c>
      <c r="M53" s="30">
        <v>0</v>
      </c>
      <c r="N53" s="30">
        <v>0</v>
      </c>
      <c r="O53" s="30">
        <v>0</v>
      </c>
      <c r="P53" s="36">
        <f t="shared" si="17"/>
        <v>108000</v>
      </c>
      <c r="Q53" s="36">
        <f t="shared" si="17"/>
        <v>108000</v>
      </c>
      <c r="R53" s="36">
        <f t="shared" si="17"/>
        <v>108000</v>
      </c>
      <c r="S53" s="22"/>
    </row>
    <row r="54" spans="1:19" x14ac:dyDescent="0.2">
      <c r="A54" s="23">
        <v>35</v>
      </c>
      <c r="B54" s="22" t="s">
        <v>45</v>
      </c>
      <c r="C54" s="23"/>
      <c r="D54" s="28">
        <v>1</v>
      </c>
      <c r="E54" s="28">
        <v>1</v>
      </c>
      <c r="F54" s="36">
        <f t="shared" si="18"/>
        <v>108000</v>
      </c>
      <c r="G54" s="29">
        <v>1</v>
      </c>
      <c r="H54" s="29">
        <v>1</v>
      </c>
      <c r="I54" s="29">
        <v>1</v>
      </c>
      <c r="J54" s="311">
        <v>0</v>
      </c>
      <c r="K54" s="30">
        <v>0</v>
      </c>
      <c r="L54" s="30">
        <v>0</v>
      </c>
      <c r="M54" s="30">
        <v>0</v>
      </c>
      <c r="N54" s="30">
        <v>0</v>
      </c>
      <c r="O54" s="30">
        <v>0</v>
      </c>
      <c r="P54" s="36">
        <f t="shared" si="17"/>
        <v>108000</v>
      </c>
      <c r="Q54" s="36">
        <f t="shared" si="17"/>
        <v>108000</v>
      </c>
      <c r="R54" s="36">
        <f t="shared" si="17"/>
        <v>108000</v>
      </c>
      <c r="S54" s="22"/>
    </row>
    <row r="55" spans="1:19" ht="13.5" thickBot="1" x14ac:dyDescent="0.25">
      <c r="A55" s="44">
        <v>36</v>
      </c>
      <c r="B55" s="45" t="s">
        <v>44</v>
      </c>
      <c r="C55" s="44"/>
      <c r="D55" s="44">
        <v>1</v>
      </c>
      <c r="E55" s="44" t="s">
        <v>175</v>
      </c>
      <c r="F55" s="46">
        <f>9000*12</f>
        <v>108000</v>
      </c>
      <c r="G55" s="47">
        <v>1</v>
      </c>
      <c r="H55" s="47">
        <v>1</v>
      </c>
      <c r="I55" s="47">
        <v>1</v>
      </c>
      <c r="J55" s="312">
        <v>0</v>
      </c>
      <c r="K55" s="48">
        <v>0</v>
      </c>
      <c r="L55" s="48">
        <v>0</v>
      </c>
      <c r="M55" s="48">
        <v>0</v>
      </c>
      <c r="N55" s="48">
        <v>0</v>
      </c>
      <c r="O55" s="48">
        <v>0</v>
      </c>
      <c r="P55" s="46">
        <f t="shared" si="17"/>
        <v>108000</v>
      </c>
      <c r="Q55" s="46">
        <f t="shared" si="17"/>
        <v>108000</v>
      </c>
      <c r="R55" s="46">
        <f t="shared" si="17"/>
        <v>108000</v>
      </c>
      <c r="S55" s="49"/>
    </row>
    <row r="56" spans="1:19" x14ac:dyDescent="0.2">
      <c r="A56" s="23"/>
      <c r="B56" s="24" t="s">
        <v>72</v>
      </c>
      <c r="C56" s="23"/>
      <c r="D56" s="23"/>
      <c r="E56" s="26"/>
      <c r="F56" s="26"/>
      <c r="G56" s="26"/>
      <c r="H56" s="26"/>
      <c r="I56" s="26"/>
      <c r="J56" s="26"/>
      <c r="K56" s="26"/>
      <c r="L56" s="26"/>
      <c r="M56" s="25"/>
      <c r="N56" s="25"/>
      <c r="O56" s="25"/>
      <c r="P56" s="37"/>
      <c r="Q56" s="270"/>
      <c r="R56" s="37"/>
      <c r="S56" s="8"/>
    </row>
    <row r="57" spans="1:19" x14ac:dyDescent="0.2">
      <c r="A57" s="23">
        <v>37</v>
      </c>
      <c r="B57" s="22" t="s">
        <v>276</v>
      </c>
      <c r="C57" s="23" t="s">
        <v>265</v>
      </c>
      <c r="D57" s="23">
        <v>1</v>
      </c>
      <c r="E57" s="23">
        <v>1</v>
      </c>
      <c r="F57" s="25">
        <f>((29110*6)+(29110*6))+((3500*3)+(3500*9))</f>
        <v>391320</v>
      </c>
      <c r="G57" s="26">
        <v>1</v>
      </c>
      <c r="H57" s="26">
        <v>1</v>
      </c>
      <c r="I57" s="26">
        <v>1</v>
      </c>
      <c r="J57" s="27">
        <v>0</v>
      </c>
      <c r="K57" s="27">
        <v>0</v>
      </c>
      <c r="L57" s="27">
        <v>0</v>
      </c>
      <c r="M57" s="25">
        <f>(26460-25470)*12</f>
        <v>11880</v>
      </c>
      <c r="N57" s="25">
        <f>(29680-29110)*6</f>
        <v>3420</v>
      </c>
      <c r="O57" s="25">
        <f>(30790-29680)*12</f>
        <v>13320</v>
      </c>
      <c r="P57" s="21">
        <v>359520</v>
      </c>
      <c r="Q57" s="21">
        <f t="shared" ref="Q57:Q63" si="19">F57+N57</f>
        <v>394740</v>
      </c>
      <c r="R57" s="21">
        <f t="shared" ref="R57:R61" si="20">Q57+O57</f>
        <v>408060</v>
      </c>
      <c r="S57" s="23"/>
    </row>
    <row r="58" spans="1:19" x14ac:dyDescent="0.2">
      <c r="A58" s="23">
        <v>38</v>
      </c>
      <c r="B58" s="22" t="s">
        <v>18</v>
      </c>
      <c r="C58" s="23" t="s">
        <v>267</v>
      </c>
      <c r="D58" s="23">
        <v>1</v>
      </c>
      <c r="E58" s="23">
        <v>1</v>
      </c>
      <c r="F58" s="25">
        <f>((21620*6)+(21710*6))</f>
        <v>259980</v>
      </c>
      <c r="G58" s="26">
        <v>1</v>
      </c>
      <c r="H58" s="26">
        <v>1</v>
      </c>
      <c r="I58" s="26">
        <v>1</v>
      </c>
      <c r="J58" s="27">
        <v>0</v>
      </c>
      <c r="K58" s="27">
        <v>0</v>
      </c>
      <c r="L58" s="27">
        <v>0</v>
      </c>
      <c r="M58" s="25">
        <f>(19970-19200)*12</f>
        <v>9240</v>
      </c>
      <c r="N58" s="25">
        <f>(22170-21710)*6</f>
        <v>2760</v>
      </c>
      <c r="O58" s="25">
        <f>(23080-22170)*12</f>
        <v>10920</v>
      </c>
      <c r="P58" s="21">
        <v>239640</v>
      </c>
      <c r="Q58" s="21">
        <f t="shared" si="19"/>
        <v>262740</v>
      </c>
      <c r="R58" s="21">
        <f t="shared" si="20"/>
        <v>273660</v>
      </c>
      <c r="S58" s="23"/>
    </row>
    <row r="59" spans="1:19" x14ac:dyDescent="0.2">
      <c r="A59" s="23">
        <v>39</v>
      </c>
      <c r="B59" s="22" t="s">
        <v>68</v>
      </c>
      <c r="C59" s="23" t="s">
        <v>269</v>
      </c>
      <c r="D59" s="23">
        <v>1</v>
      </c>
      <c r="E59" s="23">
        <v>1</v>
      </c>
      <c r="F59" s="25">
        <f>((18950*6)+(19160*6))</f>
        <v>228660</v>
      </c>
      <c r="G59" s="26">
        <v>1</v>
      </c>
      <c r="H59" s="26">
        <v>1</v>
      </c>
      <c r="I59" s="26">
        <v>1</v>
      </c>
      <c r="J59" s="27">
        <v>0</v>
      </c>
      <c r="K59" s="27">
        <v>0</v>
      </c>
      <c r="L59" s="27">
        <v>0</v>
      </c>
      <c r="M59" s="25">
        <f>(16650-16030)*12</f>
        <v>7440</v>
      </c>
      <c r="N59" s="25">
        <f>(19480-19160)*6</f>
        <v>1920</v>
      </c>
      <c r="O59" s="25">
        <f>(20120-19480)*12</f>
        <v>7680</v>
      </c>
      <c r="P59" s="21">
        <v>199800</v>
      </c>
      <c r="Q59" s="21">
        <f t="shared" si="19"/>
        <v>230580</v>
      </c>
      <c r="R59" s="21">
        <f t="shared" si="20"/>
        <v>238260</v>
      </c>
      <c r="S59" s="23"/>
    </row>
    <row r="60" spans="1:19" x14ac:dyDescent="0.2">
      <c r="A60" s="23">
        <v>40</v>
      </c>
      <c r="B60" s="22" t="s">
        <v>19</v>
      </c>
      <c r="C60" s="23" t="s">
        <v>277</v>
      </c>
      <c r="D60" s="23">
        <v>1</v>
      </c>
      <c r="E60" s="23">
        <v>1</v>
      </c>
      <c r="F60" s="25">
        <f>((17200*6)+(17310*6))</f>
        <v>207060</v>
      </c>
      <c r="G60" s="26">
        <v>1</v>
      </c>
      <c r="H60" s="26">
        <v>1</v>
      </c>
      <c r="I60" s="26">
        <v>1</v>
      </c>
      <c r="J60" s="27">
        <v>0</v>
      </c>
      <c r="K60" s="27">
        <v>0</v>
      </c>
      <c r="L60" s="27">
        <v>0</v>
      </c>
      <c r="M60" s="25">
        <f>(15920-15290)*12</f>
        <v>7560</v>
      </c>
      <c r="N60" s="25">
        <f>(17690-17310)*6</f>
        <v>2280</v>
      </c>
      <c r="O60" s="25">
        <f>(18440-17690)*12</f>
        <v>9000</v>
      </c>
      <c r="P60" s="21">
        <v>191040</v>
      </c>
      <c r="Q60" s="21">
        <f t="shared" si="19"/>
        <v>209340</v>
      </c>
      <c r="R60" s="21">
        <f t="shared" si="20"/>
        <v>218340</v>
      </c>
      <c r="S60" s="23"/>
    </row>
    <row r="61" spans="1:19" x14ac:dyDescent="0.2">
      <c r="A61" s="23">
        <v>41</v>
      </c>
      <c r="B61" s="31" t="s">
        <v>20</v>
      </c>
      <c r="C61" s="50" t="s">
        <v>270</v>
      </c>
      <c r="D61" s="50">
        <v>1</v>
      </c>
      <c r="E61" s="51">
        <v>0</v>
      </c>
      <c r="F61" s="52">
        <v>256440</v>
      </c>
      <c r="G61" s="53">
        <v>1</v>
      </c>
      <c r="H61" s="53">
        <v>1</v>
      </c>
      <c r="I61" s="53">
        <v>1</v>
      </c>
      <c r="J61" s="54">
        <v>0</v>
      </c>
      <c r="K61" s="54">
        <v>0</v>
      </c>
      <c r="L61" s="54">
        <v>0</v>
      </c>
      <c r="M61" s="52">
        <f>((6140-5810)+(27350-26500))/2*12</f>
        <v>7080</v>
      </c>
      <c r="N61" s="25">
        <f>(((6140-5810)/2)*6)+(((30020-29130)/2)*6)+(((9090-8750)/2)*6)+(((40900-39620)/2)*6)</f>
        <v>8520</v>
      </c>
      <c r="O61" s="25">
        <f>(((6140-5810)/2)*6)+(((30020-29130)/2)*6)+(((9090-8750)/2)*6)+(((40900-39620)/2)*6)</f>
        <v>8520</v>
      </c>
      <c r="P61" s="55">
        <v>206040</v>
      </c>
      <c r="Q61" s="21">
        <f t="shared" si="19"/>
        <v>264960</v>
      </c>
      <c r="R61" s="21">
        <f t="shared" si="20"/>
        <v>273480</v>
      </c>
      <c r="S61" s="23"/>
    </row>
    <row r="62" spans="1:19" x14ac:dyDescent="0.2">
      <c r="A62" s="23">
        <v>42</v>
      </c>
      <c r="B62" s="22" t="s">
        <v>21</v>
      </c>
      <c r="C62" s="23" t="s">
        <v>277</v>
      </c>
      <c r="D62" s="23">
        <v>1</v>
      </c>
      <c r="E62" s="23">
        <v>1</v>
      </c>
      <c r="F62" s="25">
        <f>((17890*6)+(18060*6))</f>
        <v>215700</v>
      </c>
      <c r="G62" s="26">
        <v>1</v>
      </c>
      <c r="H62" s="26">
        <v>1</v>
      </c>
      <c r="I62" s="26">
        <v>1</v>
      </c>
      <c r="J62" s="27">
        <v>0</v>
      </c>
      <c r="K62" s="27">
        <v>0</v>
      </c>
      <c r="L62" s="27">
        <v>0</v>
      </c>
      <c r="M62" s="25">
        <f>(15440-14850)*12</f>
        <v>7080</v>
      </c>
      <c r="N62" s="25">
        <f>(18440-18060)*6</f>
        <v>2280</v>
      </c>
      <c r="O62" s="25">
        <f>(19200-18440)*12</f>
        <v>9120</v>
      </c>
      <c r="P62" s="21">
        <v>185280</v>
      </c>
      <c r="Q62" s="21">
        <f t="shared" si="19"/>
        <v>217980</v>
      </c>
      <c r="R62" s="21">
        <f t="shared" ref="R62" si="21">Q62+O62</f>
        <v>227100</v>
      </c>
      <c r="S62" s="23"/>
    </row>
    <row r="63" spans="1:19" x14ac:dyDescent="0.2">
      <c r="A63" s="23">
        <v>43</v>
      </c>
      <c r="B63" s="22" t="s">
        <v>279</v>
      </c>
      <c r="C63" s="23" t="s">
        <v>270</v>
      </c>
      <c r="D63" s="23">
        <v>1</v>
      </c>
      <c r="E63" s="27">
        <v>0</v>
      </c>
      <c r="F63" s="25">
        <v>238620</v>
      </c>
      <c r="G63" s="26">
        <v>1</v>
      </c>
      <c r="H63" s="26">
        <v>1</v>
      </c>
      <c r="I63" s="26">
        <v>1</v>
      </c>
      <c r="J63" s="27">
        <v>0</v>
      </c>
      <c r="K63" s="27">
        <v>0</v>
      </c>
      <c r="L63" s="27">
        <v>0</v>
      </c>
      <c r="M63" s="25">
        <f>((5100-4870)+(22760-22050))/2*12</f>
        <v>5640</v>
      </c>
      <c r="N63" s="25">
        <f>(((5100-4870)/2)*6)+(((25020-24270)/2)*6)+(((9090-8750)/2)*6)+(((40900-39620)/2)*6)</f>
        <v>7800</v>
      </c>
      <c r="O63" s="25">
        <f>(((5100-4870)/2)*6)+(((25020-24270)/2)*6)+(((9090-8750)/2)*6)+(((40900-39620)/2)*6)</f>
        <v>7800</v>
      </c>
      <c r="P63" s="21">
        <v>171420</v>
      </c>
      <c r="Q63" s="21">
        <f t="shared" si="19"/>
        <v>246420</v>
      </c>
      <c r="R63" s="21">
        <f>Q63+O63</f>
        <v>254220</v>
      </c>
      <c r="S63" s="23"/>
    </row>
    <row r="64" spans="1:19" x14ac:dyDescent="0.2">
      <c r="A64" s="23"/>
      <c r="B64" s="24" t="s">
        <v>26</v>
      </c>
      <c r="C64" s="23"/>
      <c r="D64" s="23"/>
      <c r="E64" s="26"/>
      <c r="F64" s="25"/>
      <c r="G64" s="26"/>
      <c r="H64" s="26"/>
      <c r="I64" s="26"/>
      <c r="J64" s="26"/>
      <c r="K64" s="26"/>
      <c r="L64" s="26"/>
      <c r="M64" s="25"/>
      <c r="N64" s="25"/>
      <c r="O64" s="25"/>
      <c r="P64" s="21"/>
      <c r="Q64" s="21"/>
      <c r="R64" s="21"/>
      <c r="S64" s="23"/>
    </row>
    <row r="65" spans="1:19" x14ac:dyDescent="0.2">
      <c r="A65" s="23">
        <v>44</v>
      </c>
      <c r="B65" s="22" t="s">
        <v>21</v>
      </c>
      <c r="C65" s="23"/>
      <c r="D65" s="23">
        <v>1</v>
      </c>
      <c r="E65" s="26">
        <v>1</v>
      </c>
      <c r="F65" s="25">
        <f>14310*12</f>
        <v>171720</v>
      </c>
      <c r="G65" s="26">
        <v>1</v>
      </c>
      <c r="H65" s="26">
        <v>1</v>
      </c>
      <c r="I65" s="26">
        <v>1</v>
      </c>
      <c r="J65" s="27">
        <v>0</v>
      </c>
      <c r="K65" s="27">
        <v>0</v>
      </c>
      <c r="L65" s="27">
        <v>0</v>
      </c>
      <c r="M65" s="25">
        <f>(13070-12560)*12</f>
        <v>6120</v>
      </c>
      <c r="N65" s="25">
        <f>(14850-14310)*12</f>
        <v>6480</v>
      </c>
      <c r="O65" s="25">
        <f>(15440-14850)*12</f>
        <v>7080</v>
      </c>
      <c r="P65" s="21">
        <v>156840</v>
      </c>
      <c r="Q65" s="21">
        <f>F65+N65</f>
        <v>178200</v>
      </c>
      <c r="R65" s="21">
        <f t="shared" ref="R65" si="22">Q65+O65</f>
        <v>185280</v>
      </c>
      <c r="S65" s="23"/>
    </row>
    <row r="66" spans="1:19" x14ac:dyDescent="0.2">
      <c r="A66" s="23"/>
      <c r="B66" s="35" t="s">
        <v>41</v>
      </c>
      <c r="C66" s="23"/>
      <c r="D66" s="23"/>
      <c r="E66" s="26"/>
      <c r="F66" s="25"/>
      <c r="G66" s="26"/>
      <c r="H66" s="26"/>
      <c r="I66" s="26"/>
      <c r="J66" s="27"/>
      <c r="K66" s="27"/>
      <c r="L66" s="27"/>
      <c r="M66" s="25"/>
      <c r="N66" s="25"/>
      <c r="O66" s="25"/>
      <c r="P66" s="21"/>
      <c r="Q66" s="21"/>
      <c r="R66" s="21"/>
      <c r="S66" s="23"/>
    </row>
    <row r="67" spans="1:19" x14ac:dyDescent="0.2">
      <c r="A67" s="50">
        <v>45</v>
      </c>
      <c r="B67" s="8" t="s">
        <v>49</v>
      </c>
      <c r="C67" s="50"/>
      <c r="D67" s="50">
        <v>1</v>
      </c>
      <c r="E67" s="53">
        <v>1</v>
      </c>
      <c r="F67" s="52">
        <f>10740*12</f>
        <v>128880</v>
      </c>
      <c r="G67" s="53">
        <v>1</v>
      </c>
      <c r="H67" s="53">
        <v>1</v>
      </c>
      <c r="I67" s="53">
        <v>1</v>
      </c>
      <c r="J67" s="54">
        <v>0</v>
      </c>
      <c r="K67" s="54">
        <v>0</v>
      </c>
      <c r="L67" s="54">
        <v>0</v>
      </c>
      <c r="M67" s="52">
        <f>380*12</f>
        <v>4560</v>
      </c>
      <c r="N67" s="52">
        <f>430*12</f>
        <v>5160</v>
      </c>
      <c r="O67" s="52">
        <f>470*12</f>
        <v>5640</v>
      </c>
      <c r="P67" s="55">
        <v>117360</v>
      </c>
      <c r="Q67" s="21">
        <f t="shared" ref="Q67:Q68" si="23">F67+N67</f>
        <v>134040</v>
      </c>
      <c r="R67" s="55">
        <f t="shared" ref="R67" si="24">Q67+O67</f>
        <v>139680</v>
      </c>
      <c r="S67" s="50"/>
    </row>
    <row r="68" spans="1:19" ht="13.5" thickBot="1" x14ac:dyDescent="0.25">
      <c r="A68" s="17">
        <v>46</v>
      </c>
      <c r="B68" s="8" t="s">
        <v>192</v>
      </c>
      <c r="C68" s="17"/>
      <c r="D68" s="17">
        <v>1</v>
      </c>
      <c r="E68" s="306">
        <v>1</v>
      </c>
      <c r="F68" s="18">
        <f>9400*12</f>
        <v>112800</v>
      </c>
      <c r="G68" s="19">
        <v>1</v>
      </c>
      <c r="H68" s="19">
        <v>1</v>
      </c>
      <c r="I68" s="19">
        <v>1</v>
      </c>
      <c r="J68" s="27" t="s">
        <v>175</v>
      </c>
      <c r="K68" s="42">
        <v>0</v>
      </c>
      <c r="L68" s="42">
        <v>0</v>
      </c>
      <c r="M68" s="25">
        <f>9400*12</f>
        <v>112800</v>
      </c>
      <c r="N68" s="25">
        <f>380*12</f>
        <v>4560</v>
      </c>
      <c r="O68" s="25">
        <f>400*12</f>
        <v>4800</v>
      </c>
      <c r="P68" s="21">
        <v>112800</v>
      </c>
      <c r="Q68" s="37">
        <f t="shared" si="23"/>
        <v>117360</v>
      </c>
      <c r="R68" s="21">
        <f>Q68+O68</f>
        <v>122160</v>
      </c>
      <c r="S68" s="23"/>
    </row>
    <row r="69" spans="1:19" ht="13.5" thickTop="1" x14ac:dyDescent="0.2">
      <c r="A69" s="66"/>
      <c r="B69" s="67" t="s">
        <v>22</v>
      </c>
      <c r="C69" s="66"/>
      <c r="D69" s="66"/>
      <c r="E69" s="68"/>
      <c r="F69" s="68"/>
      <c r="G69" s="68"/>
      <c r="H69" s="68"/>
      <c r="I69" s="68"/>
      <c r="J69" s="68"/>
      <c r="K69" s="68"/>
      <c r="L69" s="68"/>
      <c r="M69" s="69"/>
      <c r="N69" s="69"/>
      <c r="O69" s="69"/>
      <c r="P69" s="70"/>
      <c r="Q69" s="303"/>
      <c r="R69" s="70"/>
      <c r="S69" s="66"/>
    </row>
    <row r="70" spans="1:19" x14ac:dyDescent="0.2">
      <c r="A70" s="23">
        <v>47</v>
      </c>
      <c r="B70" s="22" t="s">
        <v>278</v>
      </c>
      <c r="C70" s="23" t="s">
        <v>265</v>
      </c>
      <c r="D70" s="23">
        <v>1</v>
      </c>
      <c r="E70" s="23">
        <v>1</v>
      </c>
      <c r="F70" s="25">
        <f>((25470*6)+(25470*6))+((3500*3)+(3500*9))</f>
        <v>347640</v>
      </c>
      <c r="G70" s="26">
        <v>1</v>
      </c>
      <c r="H70" s="26">
        <v>1</v>
      </c>
      <c r="I70" s="26">
        <v>1</v>
      </c>
      <c r="J70" s="27">
        <v>0</v>
      </c>
      <c r="K70" s="27">
        <v>0</v>
      </c>
      <c r="L70" s="27">
        <v>0</v>
      </c>
      <c r="M70" s="25">
        <f>(23550-22620)*12</f>
        <v>11160</v>
      </c>
      <c r="N70" s="25">
        <f>(25970-25470)*6</f>
        <v>3000</v>
      </c>
      <c r="O70" s="25">
        <f>(26980-25970)*12</f>
        <v>12120</v>
      </c>
      <c r="P70" s="21">
        <v>324600</v>
      </c>
      <c r="Q70" s="21">
        <f t="shared" ref="Q70:Q75" si="25">F70+N70</f>
        <v>350640</v>
      </c>
      <c r="R70" s="21">
        <f t="shared" ref="R70:R74" si="26">Q70+O70</f>
        <v>362760</v>
      </c>
      <c r="S70" s="23"/>
    </row>
    <row r="71" spans="1:19" x14ac:dyDescent="0.2">
      <c r="A71" s="23">
        <v>48</v>
      </c>
      <c r="B71" s="22" t="s">
        <v>23</v>
      </c>
      <c r="C71" s="23" t="s">
        <v>277</v>
      </c>
      <c r="D71" s="23">
        <v>1</v>
      </c>
      <c r="E71" s="26">
        <v>1</v>
      </c>
      <c r="F71" s="25">
        <f>((17890*6)+(18060*6))</f>
        <v>215700</v>
      </c>
      <c r="G71" s="26">
        <v>1</v>
      </c>
      <c r="H71" s="26">
        <v>1</v>
      </c>
      <c r="I71" s="26">
        <v>1</v>
      </c>
      <c r="J71" s="27">
        <v>0</v>
      </c>
      <c r="K71" s="27">
        <v>0</v>
      </c>
      <c r="L71" s="27">
        <v>0</v>
      </c>
      <c r="M71" s="25">
        <f>(13820-13310)*12</f>
        <v>6120</v>
      </c>
      <c r="N71" s="25">
        <f>(18440-18060)*6</f>
        <v>2280</v>
      </c>
      <c r="O71" s="25">
        <f>(19200-18440)*12</f>
        <v>9120</v>
      </c>
      <c r="P71" s="21">
        <v>165840</v>
      </c>
      <c r="Q71" s="21">
        <f t="shared" si="25"/>
        <v>217980</v>
      </c>
      <c r="R71" s="21">
        <f t="shared" si="26"/>
        <v>227100</v>
      </c>
      <c r="S71" s="23"/>
    </row>
    <row r="72" spans="1:19" x14ac:dyDescent="0.2">
      <c r="A72" s="23">
        <v>49</v>
      </c>
      <c r="B72" s="22" t="s">
        <v>23</v>
      </c>
      <c r="C72" s="23" t="s">
        <v>270</v>
      </c>
      <c r="D72" s="23">
        <v>1</v>
      </c>
      <c r="E72" s="27">
        <v>0</v>
      </c>
      <c r="F72" s="52">
        <v>256440</v>
      </c>
      <c r="G72" s="26">
        <v>1</v>
      </c>
      <c r="H72" s="26">
        <v>1</v>
      </c>
      <c r="I72" s="26">
        <v>1</v>
      </c>
      <c r="J72" s="27">
        <v>0</v>
      </c>
      <c r="K72" s="27">
        <v>0</v>
      </c>
      <c r="L72" s="27">
        <v>0</v>
      </c>
      <c r="M72" s="25">
        <f>((6140-5810)+(27350-26500))/2*12</f>
        <v>7080</v>
      </c>
      <c r="N72" s="25">
        <f t="shared" ref="N72:O73" si="27">(((6140-5810)/2)*6)+(((30020-29130)/2)*6)+(((9090-8750)/2)*6)+(((40900-39620)/2)*6)</f>
        <v>8520</v>
      </c>
      <c r="O72" s="25">
        <f t="shared" si="27"/>
        <v>8520</v>
      </c>
      <c r="P72" s="21">
        <v>150900</v>
      </c>
      <c r="Q72" s="21">
        <f t="shared" si="25"/>
        <v>264960</v>
      </c>
      <c r="R72" s="21">
        <f t="shared" si="26"/>
        <v>273480</v>
      </c>
      <c r="S72" s="23"/>
    </row>
    <row r="73" spans="1:19" x14ac:dyDescent="0.2">
      <c r="A73" s="23">
        <v>50</v>
      </c>
      <c r="B73" s="22" t="s">
        <v>24</v>
      </c>
      <c r="C73" s="23" t="s">
        <v>270</v>
      </c>
      <c r="D73" s="23">
        <v>1</v>
      </c>
      <c r="E73" s="27">
        <v>0</v>
      </c>
      <c r="F73" s="52">
        <v>256440</v>
      </c>
      <c r="G73" s="26">
        <v>1</v>
      </c>
      <c r="H73" s="26">
        <v>1</v>
      </c>
      <c r="I73" s="26">
        <v>1</v>
      </c>
      <c r="J73" s="27">
        <v>0</v>
      </c>
      <c r="K73" s="27">
        <v>0</v>
      </c>
      <c r="L73" s="27">
        <v>0</v>
      </c>
      <c r="M73" s="25">
        <f t="shared" ref="M73:M74" si="28">((6140-5810)+(27350-26500))/2*12</f>
        <v>7080</v>
      </c>
      <c r="N73" s="25">
        <f t="shared" si="27"/>
        <v>8520</v>
      </c>
      <c r="O73" s="25">
        <f t="shared" si="27"/>
        <v>8520</v>
      </c>
      <c r="P73" s="21">
        <v>111960</v>
      </c>
      <c r="Q73" s="21">
        <f t="shared" si="25"/>
        <v>264960</v>
      </c>
      <c r="R73" s="21">
        <f t="shared" si="26"/>
        <v>273480</v>
      </c>
      <c r="S73" s="23"/>
    </row>
    <row r="74" spans="1:19" x14ac:dyDescent="0.2">
      <c r="A74" s="23">
        <v>51</v>
      </c>
      <c r="B74" s="22" t="s">
        <v>25</v>
      </c>
      <c r="C74" s="23" t="s">
        <v>272</v>
      </c>
      <c r="D74" s="23">
        <v>1</v>
      </c>
      <c r="E74" s="304">
        <v>1</v>
      </c>
      <c r="F74" s="25">
        <f>((13550*6)+(13760*6))</f>
        <v>163860</v>
      </c>
      <c r="G74" s="26">
        <v>1</v>
      </c>
      <c r="H74" s="26">
        <v>1</v>
      </c>
      <c r="I74" s="26">
        <v>1</v>
      </c>
      <c r="J74" s="27">
        <v>0</v>
      </c>
      <c r="K74" s="27">
        <v>0</v>
      </c>
      <c r="L74" s="27">
        <v>0</v>
      </c>
      <c r="M74" s="25">
        <f t="shared" si="28"/>
        <v>7080</v>
      </c>
      <c r="N74" s="25">
        <f>(14030-13760)*6</f>
        <v>1620</v>
      </c>
      <c r="O74" s="25">
        <f>(14310-13760)*12</f>
        <v>6600</v>
      </c>
      <c r="P74" s="21">
        <v>116760</v>
      </c>
      <c r="Q74" s="21">
        <f>F74+N74</f>
        <v>165480</v>
      </c>
      <c r="R74" s="21">
        <f t="shared" si="26"/>
        <v>172080</v>
      </c>
      <c r="S74" s="23"/>
    </row>
    <row r="75" spans="1:19" x14ac:dyDescent="0.2">
      <c r="A75" s="23">
        <v>52</v>
      </c>
      <c r="B75" s="22" t="s">
        <v>274</v>
      </c>
      <c r="C75" s="23" t="s">
        <v>272</v>
      </c>
      <c r="D75" s="23">
        <v>1</v>
      </c>
      <c r="E75" s="26">
        <v>1</v>
      </c>
      <c r="F75" s="25">
        <f>((13820*6)+(14030*6))</f>
        <v>167100</v>
      </c>
      <c r="G75" s="26">
        <v>1</v>
      </c>
      <c r="H75" s="26">
        <v>1</v>
      </c>
      <c r="I75" s="26">
        <v>1</v>
      </c>
      <c r="J75" s="27">
        <v>0</v>
      </c>
      <c r="K75" s="27">
        <v>0</v>
      </c>
      <c r="L75" s="27">
        <v>0</v>
      </c>
      <c r="M75" s="25">
        <f>(12810-12330)*12</f>
        <v>5760</v>
      </c>
      <c r="N75" s="25">
        <f>(14310-14030)*6</f>
        <v>1680</v>
      </c>
      <c r="O75" s="25">
        <f>(14850-14310)*12</f>
        <v>6480</v>
      </c>
      <c r="P75" s="21">
        <v>153720</v>
      </c>
      <c r="Q75" s="21">
        <f t="shared" si="25"/>
        <v>168780</v>
      </c>
      <c r="R75" s="21">
        <f t="shared" ref="R75" si="29">Q75+O75</f>
        <v>175260</v>
      </c>
      <c r="S75" s="23"/>
    </row>
    <row r="76" spans="1:19" x14ac:dyDescent="0.2">
      <c r="A76" s="23"/>
      <c r="B76" s="24" t="s">
        <v>41</v>
      </c>
      <c r="C76" s="28"/>
      <c r="D76" s="28"/>
      <c r="E76" s="29"/>
      <c r="F76" s="56"/>
      <c r="G76" s="29"/>
      <c r="H76" s="29"/>
      <c r="I76" s="29"/>
      <c r="J76" s="30"/>
      <c r="K76" s="30"/>
      <c r="L76" s="30"/>
      <c r="M76" s="36"/>
      <c r="N76" s="36"/>
      <c r="O76" s="36"/>
      <c r="P76" s="37"/>
      <c r="Q76" s="21"/>
      <c r="R76" s="37"/>
      <c r="S76" s="23"/>
    </row>
    <row r="77" spans="1:19" x14ac:dyDescent="0.2">
      <c r="A77" s="23">
        <v>53</v>
      </c>
      <c r="B77" s="22" t="s">
        <v>40</v>
      </c>
      <c r="C77" s="28"/>
      <c r="D77" s="28">
        <v>1</v>
      </c>
      <c r="E77" s="29">
        <v>1</v>
      </c>
      <c r="F77" s="56">
        <f>12630*12</f>
        <v>151560</v>
      </c>
      <c r="G77" s="26">
        <v>1</v>
      </c>
      <c r="H77" s="26">
        <v>1</v>
      </c>
      <c r="I77" s="26">
        <v>1</v>
      </c>
      <c r="J77" s="27">
        <v>0</v>
      </c>
      <c r="K77" s="27">
        <v>0</v>
      </c>
      <c r="L77" s="27">
        <v>0</v>
      </c>
      <c r="M77" s="25">
        <f>450*12</f>
        <v>5400</v>
      </c>
      <c r="N77" s="25">
        <f>510*12</f>
        <v>6120</v>
      </c>
      <c r="O77" s="25">
        <f>490*12</f>
        <v>5880</v>
      </c>
      <c r="P77" s="21">
        <v>138720</v>
      </c>
      <c r="Q77" s="21">
        <f t="shared" ref="Q77" si="30">F77+N77</f>
        <v>157680</v>
      </c>
      <c r="R77" s="21">
        <f t="shared" ref="R77" si="31">Q77+O77</f>
        <v>163560</v>
      </c>
      <c r="S77" s="23"/>
    </row>
    <row r="78" spans="1:19" x14ac:dyDescent="0.2">
      <c r="A78" s="23">
        <v>54</v>
      </c>
      <c r="B78" s="57" t="s">
        <v>39</v>
      </c>
      <c r="C78" s="28"/>
      <c r="D78" s="28">
        <v>1</v>
      </c>
      <c r="E78" s="29">
        <v>1</v>
      </c>
      <c r="F78" s="56">
        <f>10700*12</f>
        <v>128400</v>
      </c>
      <c r="G78" s="26">
        <v>1</v>
      </c>
      <c r="H78" s="26">
        <v>1</v>
      </c>
      <c r="I78" s="26">
        <v>1</v>
      </c>
      <c r="J78" s="27">
        <v>0</v>
      </c>
      <c r="K78" s="27">
        <v>0</v>
      </c>
      <c r="L78" s="27">
        <v>0</v>
      </c>
      <c r="M78" s="25">
        <f>380*12</f>
        <v>4560</v>
      </c>
      <c r="N78" s="25">
        <f>400*12</f>
        <v>4800</v>
      </c>
      <c r="O78" s="25">
        <f>530*12</f>
        <v>6360</v>
      </c>
      <c r="P78" s="21">
        <v>117360</v>
      </c>
      <c r="Q78" s="21">
        <f>F78+N78</f>
        <v>133200</v>
      </c>
      <c r="R78" s="21">
        <f t="shared" ref="R78" si="32">Q78+O78</f>
        <v>139560</v>
      </c>
      <c r="S78" s="23"/>
    </row>
    <row r="79" spans="1:19" x14ac:dyDescent="0.2">
      <c r="A79" s="23">
        <v>55</v>
      </c>
      <c r="B79" s="57" t="s">
        <v>280</v>
      </c>
      <c r="C79" s="28"/>
      <c r="D79" s="23">
        <v>1</v>
      </c>
      <c r="E79" s="27">
        <v>0</v>
      </c>
      <c r="F79" s="25">
        <f>11500*12</f>
        <v>138000</v>
      </c>
      <c r="G79" s="26">
        <v>1</v>
      </c>
      <c r="H79" s="26">
        <v>1</v>
      </c>
      <c r="I79" s="26">
        <v>1</v>
      </c>
      <c r="J79" s="27" t="s">
        <v>175</v>
      </c>
      <c r="K79" s="42">
        <v>0</v>
      </c>
      <c r="L79" s="42">
        <v>0</v>
      </c>
      <c r="M79" s="25">
        <f>9400*12</f>
        <v>112800</v>
      </c>
      <c r="N79" s="25">
        <f>460*12</f>
        <v>5520</v>
      </c>
      <c r="O79" s="25">
        <f>480*12</f>
        <v>5760</v>
      </c>
      <c r="P79" s="21">
        <v>112800</v>
      </c>
      <c r="Q79" s="21">
        <f>N79+F79</f>
        <v>143520</v>
      </c>
      <c r="R79" s="21">
        <f>Q79+O79</f>
        <v>149280</v>
      </c>
      <c r="S79" s="23"/>
    </row>
    <row r="80" spans="1:19" x14ac:dyDescent="0.2">
      <c r="A80" s="23"/>
      <c r="B80" s="24" t="s">
        <v>38</v>
      </c>
      <c r="C80" s="28"/>
      <c r="D80" s="28"/>
      <c r="E80" s="29"/>
      <c r="F80" s="56"/>
      <c r="G80" s="29"/>
      <c r="H80" s="29"/>
      <c r="I80" s="29"/>
      <c r="J80" s="30"/>
      <c r="K80" s="30"/>
      <c r="L80" s="30"/>
      <c r="M80" s="36"/>
      <c r="N80" s="36"/>
      <c r="O80" s="36"/>
      <c r="P80" s="37"/>
      <c r="Q80" s="21"/>
      <c r="R80" s="37"/>
      <c r="S80" s="23"/>
    </row>
    <row r="81" spans="1:20" x14ac:dyDescent="0.2">
      <c r="A81" s="23">
        <v>56</v>
      </c>
      <c r="B81" s="22" t="s">
        <v>37</v>
      </c>
      <c r="C81" s="28"/>
      <c r="D81" s="28">
        <v>1</v>
      </c>
      <c r="E81" s="29">
        <v>1</v>
      </c>
      <c r="F81" s="56">
        <f>10600*12</f>
        <v>127200</v>
      </c>
      <c r="G81" s="26">
        <v>1</v>
      </c>
      <c r="H81" s="26">
        <v>1</v>
      </c>
      <c r="I81" s="26">
        <v>1</v>
      </c>
      <c r="J81" s="27">
        <v>0</v>
      </c>
      <c r="K81" s="27">
        <v>0</v>
      </c>
      <c r="L81" s="27">
        <v>0</v>
      </c>
      <c r="M81" s="36">
        <f>390*12</f>
        <v>4680</v>
      </c>
      <c r="N81" s="36">
        <f>430*12</f>
        <v>5160</v>
      </c>
      <c r="O81" s="36">
        <f>450*12</f>
        <v>5400</v>
      </c>
      <c r="P81" s="21">
        <v>119280</v>
      </c>
      <c r="Q81" s="21">
        <f>F81+N81</f>
        <v>132360</v>
      </c>
      <c r="R81" s="21">
        <f t="shared" ref="R81:R82" si="33">Q81+O81</f>
        <v>137760</v>
      </c>
      <c r="S81" s="23"/>
    </row>
    <row r="82" spans="1:20" x14ac:dyDescent="0.2">
      <c r="A82" s="23">
        <v>57</v>
      </c>
      <c r="B82" s="22" t="s">
        <v>37</v>
      </c>
      <c r="C82" s="28"/>
      <c r="D82" s="28">
        <v>1</v>
      </c>
      <c r="E82" s="271">
        <v>1</v>
      </c>
      <c r="F82" s="56">
        <f>9400*12</f>
        <v>112800</v>
      </c>
      <c r="G82" s="26">
        <v>1</v>
      </c>
      <c r="H82" s="26">
        <v>1</v>
      </c>
      <c r="I82" s="26">
        <v>1</v>
      </c>
      <c r="J82" s="27">
        <v>0</v>
      </c>
      <c r="K82" s="27">
        <v>0</v>
      </c>
      <c r="L82" s="27">
        <v>0</v>
      </c>
      <c r="M82" s="36">
        <v>0</v>
      </c>
      <c r="N82" s="36">
        <f>380*12</f>
        <v>4560</v>
      </c>
      <c r="O82" s="36">
        <f>400*12</f>
        <v>4800</v>
      </c>
      <c r="P82" s="21">
        <v>112800</v>
      </c>
      <c r="Q82" s="37">
        <f>F82+N82</f>
        <v>117360</v>
      </c>
      <c r="R82" s="21">
        <f t="shared" si="33"/>
        <v>122160</v>
      </c>
      <c r="S82" s="23"/>
      <c r="T82" s="300">
        <f>SUM(P49:P82)</f>
        <v>4243200</v>
      </c>
    </row>
    <row r="83" spans="1:20" x14ac:dyDescent="0.2">
      <c r="A83" s="74"/>
      <c r="B83" s="82"/>
      <c r="C83" s="74"/>
      <c r="D83" s="74"/>
      <c r="E83" s="85"/>
      <c r="F83" s="94"/>
      <c r="G83" s="95"/>
      <c r="H83" s="95"/>
      <c r="I83" s="95"/>
      <c r="J83" s="85"/>
      <c r="K83" s="83"/>
      <c r="L83" s="83"/>
      <c r="M83" s="84"/>
      <c r="N83" s="84"/>
      <c r="O83" s="84"/>
      <c r="P83" s="86"/>
      <c r="Q83" s="86"/>
      <c r="R83" s="86"/>
      <c r="S83" s="74"/>
    </row>
    <row r="84" spans="1:20" x14ac:dyDescent="0.2">
      <c r="A84" s="240"/>
      <c r="B84" s="88"/>
      <c r="C84" s="240"/>
      <c r="D84" s="240"/>
      <c r="E84" s="91"/>
      <c r="F84" s="93"/>
      <c r="G84" s="96"/>
      <c r="H84" s="96"/>
      <c r="I84" s="96"/>
      <c r="J84" s="91"/>
      <c r="K84" s="89"/>
      <c r="L84" s="89"/>
      <c r="M84" s="90"/>
      <c r="N84" s="90"/>
      <c r="O84" s="90"/>
      <c r="P84" s="92"/>
      <c r="Q84" s="92"/>
      <c r="R84" s="92"/>
      <c r="S84" s="240"/>
    </row>
    <row r="85" spans="1:20" ht="20.25" x14ac:dyDescent="0.2">
      <c r="A85" s="87"/>
      <c r="B85" s="88"/>
      <c r="C85" s="87"/>
      <c r="D85" s="87"/>
      <c r="E85" s="91"/>
      <c r="F85" s="93"/>
      <c r="G85" s="96"/>
      <c r="H85" s="96"/>
      <c r="I85" s="96"/>
      <c r="J85" s="91"/>
      <c r="K85" s="89"/>
      <c r="L85" s="89"/>
      <c r="M85" s="90"/>
      <c r="N85" s="90"/>
      <c r="O85" s="90"/>
      <c r="P85" s="92"/>
      <c r="Q85" s="92"/>
      <c r="R85" s="92"/>
      <c r="S85" s="274">
        <v>21</v>
      </c>
    </row>
    <row r="86" spans="1:20" x14ac:dyDescent="0.2">
      <c r="A86" s="87"/>
      <c r="B86" s="87"/>
      <c r="C86" s="87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</row>
    <row r="87" spans="1:20" x14ac:dyDescent="0.2">
      <c r="A87" s="476" t="s">
        <v>5</v>
      </c>
      <c r="B87" s="476" t="s">
        <v>6</v>
      </c>
      <c r="C87" s="71" t="s">
        <v>7</v>
      </c>
      <c r="D87" s="73" t="s">
        <v>8</v>
      </c>
      <c r="E87" s="479" t="s">
        <v>43</v>
      </c>
      <c r="F87" s="480"/>
      <c r="G87" s="479" t="s">
        <v>61</v>
      </c>
      <c r="H87" s="481"/>
      <c r="I87" s="480"/>
      <c r="J87" s="479" t="s">
        <v>57</v>
      </c>
      <c r="K87" s="481"/>
      <c r="L87" s="480"/>
      <c r="M87" s="482" t="s">
        <v>63</v>
      </c>
      <c r="N87" s="483"/>
      <c r="O87" s="484"/>
      <c r="P87" s="482" t="s">
        <v>64</v>
      </c>
      <c r="Q87" s="483"/>
      <c r="R87" s="484"/>
      <c r="S87" s="476" t="s">
        <v>59</v>
      </c>
    </row>
    <row r="88" spans="1:20" x14ac:dyDescent="0.2">
      <c r="A88" s="478"/>
      <c r="B88" s="478"/>
      <c r="C88" s="72" t="s">
        <v>9</v>
      </c>
      <c r="D88" s="5" t="s">
        <v>10</v>
      </c>
      <c r="E88" s="6" t="s">
        <v>8</v>
      </c>
      <c r="F88" s="476" t="s">
        <v>60</v>
      </c>
      <c r="G88" s="488" t="s">
        <v>62</v>
      </c>
      <c r="H88" s="489"/>
      <c r="I88" s="490"/>
      <c r="J88" s="488" t="s">
        <v>58</v>
      </c>
      <c r="K88" s="489"/>
      <c r="L88" s="490"/>
      <c r="M88" s="485"/>
      <c r="N88" s="486"/>
      <c r="O88" s="487"/>
      <c r="P88" s="485"/>
      <c r="Q88" s="486"/>
      <c r="R88" s="487"/>
      <c r="S88" s="491"/>
    </row>
    <row r="89" spans="1:20" x14ac:dyDescent="0.2">
      <c r="A89" s="492"/>
      <c r="B89" s="492"/>
      <c r="C89" s="7"/>
      <c r="D89" s="32"/>
      <c r="E89" s="9" t="s">
        <v>42</v>
      </c>
      <c r="F89" s="477"/>
      <c r="G89" s="60" t="s">
        <v>240</v>
      </c>
      <c r="H89" s="60" t="s">
        <v>241</v>
      </c>
      <c r="I89" s="60" t="s">
        <v>242</v>
      </c>
      <c r="J89" s="60">
        <v>2558</v>
      </c>
      <c r="K89" s="60">
        <v>2559</v>
      </c>
      <c r="L89" s="60">
        <v>2560</v>
      </c>
      <c r="M89" s="301" t="s">
        <v>236</v>
      </c>
      <c r="N89" s="301" t="s">
        <v>238</v>
      </c>
      <c r="O89" s="301" t="s">
        <v>239</v>
      </c>
      <c r="P89" s="301" t="s">
        <v>236</v>
      </c>
      <c r="Q89" s="301" t="s">
        <v>238</v>
      </c>
      <c r="R89" s="301" t="s">
        <v>239</v>
      </c>
      <c r="S89" s="477"/>
    </row>
    <row r="90" spans="1:20" x14ac:dyDescent="0.2">
      <c r="A90" s="28"/>
      <c r="B90" s="35" t="s">
        <v>36</v>
      </c>
      <c r="C90" s="28"/>
      <c r="D90" s="28"/>
      <c r="E90" s="29"/>
      <c r="F90" s="56"/>
      <c r="G90" s="29"/>
      <c r="H90" s="29"/>
      <c r="I90" s="29"/>
      <c r="J90" s="308">
        <v>0</v>
      </c>
      <c r="K90" s="30"/>
      <c r="L90" s="30"/>
      <c r="M90" s="36"/>
      <c r="N90" s="36"/>
      <c r="O90" s="36"/>
      <c r="P90" s="37"/>
      <c r="Q90" s="37"/>
      <c r="R90" s="37"/>
      <c r="S90" s="28"/>
    </row>
    <row r="91" spans="1:20" x14ac:dyDescent="0.2">
      <c r="A91" s="23">
        <v>58</v>
      </c>
      <c r="B91" s="22" t="s">
        <v>35</v>
      </c>
      <c r="C91" s="28"/>
      <c r="D91" s="28">
        <v>1</v>
      </c>
      <c r="E91" s="29">
        <v>1</v>
      </c>
      <c r="F91" s="56">
        <f>9000*12</f>
        <v>108000</v>
      </c>
      <c r="G91" s="26">
        <v>1</v>
      </c>
      <c r="H91" s="26">
        <v>1</v>
      </c>
      <c r="I91" s="26">
        <v>1</v>
      </c>
      <c r="J91" s="310">
        <v>0</v>
      </c>
      <c r="K91" s="27">
        <v>0</v>
      </c>
      <c r="L91" s="27">
        <v>0</v>
      </c>
      <c r="M91" s="27">
        <v>0</v>
      </c>
      <c r="N91" s="27">
        <v>0</v>
      </c>
      <c r="O91" s="27">
        <v>0</v>
      </c>
      <c r="P91" s="36">
        <f t="shared" ref="P91:R94" si="34">9000*12</f>
        <v>108000</v>
      </c>
      <c r="Q91" s="36">
        <f>9000*12</f>
        <v>108000</v>
      </c>
      <c r="R91" s="36">
        <f t="shared" si="34"/>
        <v>108000</v>
      </c>
      <c r="S91" s="23"/>
    </row>
    <row r="92" spans="1:20" x14ac:dyDescent="0.2">
      <c r="A92" s="23">
        <v>59</v>
      </c>
      <c r="B92" s="22" t="s">
        <v>35</v>
      </c>
      <c r="C92" s="28"/>
      <c r="D92" s="28">
        <v>1</v>
      </c>
      <c r="E92" s="271">
        <v>1</v>
      </c>
      <c r="F92" s="56">
        <f>9000*12</f>
        <v>108000</v>
      </c>
      <c r="G92" s="26">
        <v>1</v>
      </c>
      <c r="H92" s="26">
        <v>1</v>
      </c>
      <c r="I92" s="26">
        <v>1</v>
      </c>
      <c r="J92" s="310">
        <v>0</v>
      </c>
      <c r="K92" s="27">
        <v>0</v>
      </c>
      <c r="L92" s="27">
        <v>0</v>
      </c>
      <c r="M92" s="27">
        <v>0</v>
      </c>
      <c r="N92" s="27">
        <v>0</v>
      </c>
      <c r="O92" s="27">
        <v>0</v>
      </c>
      <c r="P92" s="36">
        <f>9000*12</f>
        <v>108000</v>
      </c>
      <c r="Q92" s="36">
        <f t="shared" si="34"/>
        <v>108000</v>
      </c>
      <c r="R92" s="36">
        <f t="shared" si="34"/>
        <v>108000</v>
      </c>
      <c r="S92" s="22"/>
    </row>
    <row r="93" spans="1:20" x14ac:dyDescent="0.2">
      <c r="A93" s="23">
        <v>60</v>
      </c>
      <c r="B93" s="8" t="s">
        <v>35</v>
      </c>
      <c r="C93" s="23"/>
      <c r="D93" s="23">
        <v>1</v>
      </c>
      <c r="E93" s="27">
        <v>0</v>
      </c>
      <c r="F93" s="38">
        <f>9000*12</f>
        <v>108000</v>
      </c>
      <c r="G93" s="26">
        <v>1</v>
      </c>
      <c r="H93" s="26">
        <v>1</v>
      </c>
      <c r="I93" s="26">
        <v>1</v>
      </c>
      <c r="J93" s="310">
        <v>0</v>
      </c>
      <c r="K93" s="42">
        <v>0</v>
      </c>
      <c r="L93" s="42">
        <v>0</v>
      </c>
      <c r="M93" s="27">
        <f>9000*12</f>
        <v>108000</v>
      </c>
      <c r="N93" s="27">
        <v>0</v>
      </c>
      <c r="O93" s="27">
        <v>0</v>
      </c>
      <c r="P93" s="25">
        <f t="shared" si="34"/>
        <v>108000</v>
      </c>
      <c r="Q93" s="25">
        <f t="shared" si="34"/>
        <v>108000</v>
      </c>
      <c r="R93" s="25">
        <f t="shared" si="34"/>
        <v>108000</v>
      </c>
      <c r="S93" s="23"/>
    </row>
    <row r="94" spans="1:20" x14ac:dyDescent="0.2">
      <c r="A94" s="76">
        <v>61</v>
      </c>
      <c r="B94" s="31" t="s">
        <v>37</v>
      </c>
      <c r="C94" s="17"/>
      <c r="D94" s="17">
        <v>1</v>
      </c>
      <c r="E94" s="20">
        <v>0</v>
      </c>
      <c r="F94" s="75">
        <f>9000*12</f>
        <v>108000</v>
      </c>
      <c r="G94" s="19">
        <v>1</v>
      </c>
      <c r="H94" s="19">
        <v>1</v>
      </c>
      <c r="I94" s="19">
        <v>1</v>
      </c>
      <c r="J94" s="309">
        <v>0</v>
      </c>
      <c r="K94" s="269">
        <v>0</v>
      </c>
      <c r="L94" s="269">
        <v>0</v>
      </c>
      <c r="M94" s="18">
        <f>9000*12</f>
        <v>108000</v>
      </c>
      <c r="N94" s="18">
        <v>0</v>
      </c>
      <c r="O94" s="18">
        <v>0</v>
      </c>
      <c r="P94" s="25">
        <f t="shared" si="34"/>
        <v>108000</v>
      </c>
      <c r="Q94" s="25">
        <f>9000*12</f>
        <v>108000</v>
      </c>
      <c r="R94" s="25">
        <f t="shared" si="34"/>
        <v>108000</v>
      </c>
      <c r="S94" s="17"/>
      <c r="T94" s="300">
        <f>SUM(P91:P94)</f>
        <v>432000</v>
      </c>
    </row>
    <row r="95" spans="1:20" x14ac:dyDescent="0.2">
      <c r="A95" s="58" t="s">
        <v>34</v>
      </c>
      <c r="B95" s="59" t="s">
        <v>28</v>
      </c>
      <c r="C95" s="60"/>
      <c r="D95" s="60">
        <f t="shared" ref="D95:I95" si="35">SUM(D9:D94)</f>
        <v>61</v>
      </c>
      <c r="E95" s="60">
        <f t="shared" si="35"/>
        <v>46</v>
      </c>
      <c r="F95" s="61">
        <f t="shared" si="35"/>
        <v>10087710</v>
      </c>
      <c r="G95" s="62">
        <f t="shared" si="35"/>
        <v>61</v>
      </c>
      <c r="H95" s="62">
        <f t="shared" si="35"/>
        <v>61</v>
      </c>
      <c r="I95" s="62">
        <f t="shared" si="35"/>
        <v>61</v>
      </c>
      <c r="J95" s="307">
        <v>0</v>
      </c>
      <c r="K95" s="307">
        <v>0</v>
      </c>
      <c r="L95" s="307">
        <v>0</v>
      </c>
      <c r="M95" s="61">
        <f t="shared" ref="M95:R95" si="36">SUM(M9:M94)</f>
        <v>1622940</v>
      </c>
      <c r="N95" s="61">
        <f t="shared" si="36"/>
        <v>208260</v>
      </c>
      <c r="O95" s="61">
        <f t="shared" si="36"/>
        <v>341700</v>
      </c>
      <c r="P95" s="63">
        <f t="shared" si="36"/>
        <v>8935080</v>
      </c>
      <c r="Q95" s="63">
        <f t="shared" si="36"/>
        <v>10295970</v>
      </c>
      <c r="R95" s="63">
        <f t="shared" si="36"/>
        <v>10637670</v>
      </c>
      <c r="S95" s="64"/>
    </row>
    <row r="96" spans="1:20" x14ac:dyDescent="0.2">
      <c r="A96" s="58" t="s">
        <v>33</v>
      </c>
      <c r="B96" s="64" t="s">
        <v>32</v>
      </c>
      <c r="C96" s="62"/>
      <c r="D96" s="62"/>
      <c r="E96" s="62"/>
      <c r="F96" s="62" t="s">
        <v>11</v>
      </c>
      <c r="G96" s="62" t="s">
        <v>11</v>
      </c>
      <c r="H96" s="62" t="s">
        <v>11</v>
      </c>
      <c r="I96" s="62" t="s">
        <v>11</v>
      </c>
      <c r="J96" s="62"/>
      <c r="K96" s="62"/>
      <c r="L96" s="62"/>
      <c r="M96" s="62" t="s">
        <v>11</v>
      </c>
      <c r="N96" s="62" t="s">
        <v>11</v>
      </c>
      <c r="O96" s="62" t="s">
        <v>11</v>
      </c>
      <c r="P96" s="61">
        <f>P95*20%</f>
        <v>1787016</v>
      </c>
      <c r="Q96" s="61">
        <f>Q95*20%</f>
        <v>2059194</v>
      </c>
      <c r="R96" s="61">
        <f>R95*20%</f>
        <v>2127534</v>
      </c>
      <c r="S96" s="64"/>
      <c r="T96" s="1">
        <f>SUM(T1:T94)</f>
        <v>8935080</v>
      </c>
    </row>
    <row r="97" spans="1:19" x14ac:dyDescent="0.2">
      <c r="A97" s="58" t="s">
        <v>31</v>
      </c>
      <c r="B97" s="64" t="s">
        <v>29</v>
      </c>
      <c r="C97" s="62"/>
      <c r="D97" s="62"/>
      <c r="E97" s="62"/>
      <c r="F97" s="62" t="s">
        <v>11</v>
      </c>
      <c r="G97" s="62" t="s">
        <v>11</v>
      </c>
      <c r="H97" s="62" t="s">
        <v>11</v>
      </c>
      <c r="I97" s="62" t="s">
        <v>11</v>
      </c>
      <c r="J97" s="62"/>
      <c r="K97" s="62"/>
      <c r="L97" s="62"/>
      <c r="M97" s="62" t="s">
        <v>11</v>
      </c>
      <c r="N97" s="62" t="s">
        <v>11</v>
      </c>
      <c r="O97" s="62" t="s">
        <v>11</v>
      </c>
      <c r="P97" s="63">
        <f>SUM(P95:P96)</f>
        <v>10722096</v>
      </c>
      <c r="Q97" s="63">
        <f>SUM(Q95:Q96)</f>
        <v>12355164</v>
      </c>
      <c r="R97" s="63">
        <f>SUM(R95:R96)</f>
        <v>12765204</v>
      </c>
      <c r="S97" s="64"/>
    </row>
    <row r="98" spans="1:19" x14ac:dyDescent="0.2">
      <c r="A98" s="58" t="s">
        <v>30</v>
      </c>
      <c r="B98" s="64" t="s">
        <v>70</v>
      </c>
      <c r="C98" s="62"/>
      <c r="D98" s="62"/>
      <c r="E98" s="62"/>
      <c r="F98" s="62" t="s">
        <v>11</v>
      </c>
      <c r="G98" s="62" t="s">
        <v>11</v>
      </c>
      <c r="H98" s="62" t="s">
        <v>11</v>
      </c>
      <c r="I98" s="62" t="s">
        <v>11</v>
      </c>
      <c r="J98" s="62"/>
      <c r="K98" s="62"/>
      <c r="L98" s="62"/>
      <c r="M98" s="62" t="s">
        <v>11</v>
      </c>
      <c r="N98" s="62" t="s">
        <v>11</v>
      </c>
      <c r="O98" s="62" t="s">
        <v>11</v>
      </c>
      <c r="P98" s="65">
        <f>(P97/33500000)*100</f>
        <v>32.006256716417909</v>
      </c>
      <c r="Q98" s="65">
        <f>(Q97/37100000)*100</f>
        <v>33.302328840970354</v>
      </c>
      <c r="R98" s="65">
        <f>(R97/38955000)*100</f>
        <v>32.769102810935699</v>
      </c>
      <c r="S98" s="64"/>
    </row>
    <row r="128" spans="19:19" ht="20.25" x14ac:dyDescent="0.2">
      <c r="S128" s="277">
        <v>22</v>
      </c>
    </row>
  </sheetData>
  <mergeCells count="33">
    <mergeCell ref="A87:A89"/>
    <mergeCell ref="B87:B89"/>
    <mergeCell ref="E87:F87"/>
    <mergeCell ref="G87:I87"/>
    <mergeCell ref="J87:L87"/>
    <mergeCell ref="M87:O88"/>
    <mergeCell ref="P87:R88"/>
    <mergeCell ref="S87:S89"/>
    <mergeCell ref="F88:F89"/>
    <mergeCell ref="G88:I88"/>
    <mergeCell ref="J88:L88"/>
    <mergeCell ref="A45:A47"/>
    <mergeCell ref="B45:B47"/>
    <mergeCell ref="E45:F45"/>
    <mergeCell ref="G45:I45"/>
    <mergeCell ref="J45:L45"/>
    <mergeCell ref="M45:O46"/>
    <mergeCell ref="P45:R46"/>
    <mergeCell ref="S45:S47"/>
    <mergeCell ref="F46:F47"/>
    <mergeCell ref="G46:I46"/>
    <mergeCell ref="J46:L46"/>
    <mergeCell ref="M6:O7"/>
    <mergeCell ref="P6:R7"/>
    <mergeCell ref="G7:I7"/>
    <mergeCell ref="S6:S8"/>
    <mergeCell ref="J6:L6"/>
    <mergeCell ref="J7:L7"/>
    <mergeCell ref="F7:F8"/>
    <mergeCell ref="A6:A8"/>
    <mergeCell ref="B6:B8"/>
    <mergeCell ref="E6:F6"/>
    <mergeCell ref="G6:I6"/>
  </mergeCells>
  <pageMargins left="0.15748031496062992" right="0.15748031496062992" top="0.27559055118110237" bottom="0.23622047244094491" header="0.19685039370078741" footer="0.1574803149606299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130"/>
  <sheetViews>
    <sheetView topLeftCell="A58" zoomScale="120" zoomScaleNormal="120" workbookViewId="0">
      <selection activeCell="B98" sqref="B98"/>
    </sheetView>
  </sheetViews>
  <sheetFormatPr defaultRowHeight="15" x14ac:dyDescent="0.25"/>
  <cols>
    <col min="1" max="1" width="2.75" style="155" customWidth="1"/>
    <col min="2" max="2" width="18.625" style="100" customWidth="1"/>
    <col min="3" max="3" width="9.5" style="100" customWidth="1"/>
    <col min="4" max="4" width="8.125" style="100" customWidth="1"/>
    <col min="5" max="5" width="16.5" style="100" customWidth="1"/>
    <col min="6" max="6" width="5.25" style="100" customWidth="1"/>
    <col min="7" max="7" width="9.25" style="100" customWidth="1"/>
    <col min="8" max="8" width="17.25" style="100" customWidth="1"/>
    <col min="9" max="9" width="5.375" style="100" customWidth="1"/>
    <col min="10" max="10" width="9.375" style="100" bestFit="1" customWidth="1"/>
    <col min="11" max="11" width="9" style="100" customWidth="1"/>
    <col min="12" max="12" width="8.625" style="100" customWidth="1"/>
    <col min="13" max="13" width="7.875" style="100" customWidth="1"/>
    <col min="14" max="16384" width="9" style="100"/>
  </cols>
  <sheetData>
    <row r="1" spans="1:13" x14ac:dyDescent="0.25">
      <c r="B1" s="101" t="s">
        <v>71</v>
      </c>
    </row>
    <row r="2" spans="1:13" x14ac:dyDescent="0.25">
      <c r="C2" s="101" t="s">
        <v>185</v>
      </c>
      <c r="D2" s="101"/>
      <c r="E2" s="101"/>
    </row>
    <row r="4" spans="1:13" x14ac:dyDescent="0.25">
      <c r="A4" s="436" t="s">
        <v>5</v>
      </c>
      <c r="B4" s="436" t="s">
        <v>73</v>
      </c>
      <c r="C4" s="349" t="s">
        <v>74</v>
      </c>
      <c r="D4" s="439" t="s">
        <v>77</v>
      </c>
      <c r="E4" s="440"/>
      <c r="F4" s="440"/>
      <c r="G4" s="439" t="s">
        <v>78</v>
      </c>
      <c r="H4" s="440"/>
      <c r="I4" s="441"/>
      <c r="J4" s="442" t="s">
        <v>79</v>
      </c>
      <c r="K4" s="443"/>
      <c r="L4" s="444"/>
      <c r="M4" s="350"/>
    </row>
    <row r="5" spans="1:13" x14ac:dyDescent="0.25">
      <c r="A5" s="437"/>
      <c r="B5" s="437"/>
      <c r="C5" s="351" t="s">
        <v>75</v>
      </c>
      <c r="D5" s="436" t="s">
        <v>76</v>
      </c>
      <c r="E5" s="436" t="s">
        <v>9</v>
      </c>
      <c r="F5" s="436" t="s">
        <v>7</v>
      </c>
      <c r="G5" s="436" t="s">
        <v>76</v>
      </c>
      <c r="H5" s="436" t="s">
        <v>9</v>
      </c>
      <c r="I5" s="436" t="s">
        <v>7</v>
      </c>
      <c r="J5" s="436" t="s">
        <v>79</v>
      </c>
      <c r="K5" s="436" t="s">
        <v>80</v>
      </c>
      <c r="L5" s="349" t="s">
        <v>81</v>
      </c>
      <c r="M5" s="352" t="s">
        <v>59</v>
      </c>
    </row>
    <row r="6" spans="1:13" x14ac:dyDescent="0.25">
      <c r="A6" s="438"/>
      <c r="B6" s="438"/>
      <c r="C6" s="353"/>
      <c r="D6" s="438"/>
      <c r="E6" s="438"/>
      <c r="F6" s="438"/>
      <c r="G6" s="438"/>
      <c r="H6" s="438"/>
      <c r="I6" s="438"/>
      <c r="J6" s="438"/>
      <c r="K6" s="438"/>
      <c r="L6" s="354" t="s">
        <v>82</v>
      </c>
      <c r="M6" s="355"/>
    </row>
    <row r="7" spans="1:13" x14ac:dyDescent="0.25">
      <c r="A7" s="349">
        <v>1</v>
      </c>
      <c r="B7" s="350" t="s">
        <v>83</v>
      </c>
      <c r="C7" s="350" t="s">
        <v>324</v>
      </c>
      <c r="D7" s="350" t="s">
        <v>84</v>
      </c>
      <c r="E7" s="350" t="s">
        <v>85</v>
      </c>
      <c r="F7" s="349">
        <v>8</v>
      </c>
      <c r="G7" s="350" t="s">
        <v>319</v>
      </c>
      <c r="H7" s="350" t="s">
        <v>285</v>
      </c>
      <c r="I7" s="349" t="s">
        <v>321</v>
      </c>
      <c r="J7" s="356">
        <f>31290*12</f>
        <v>375480</v>
      </c>
      <c r="K7" s="356">
        <f>(5600*3)+(7000*9)</f>
        <v>79800</v>
      </c>
      <c r="L7" s="356">
        <f>(5600*3)+(7000*9)</f>
        <v>79800</v>
      </c>
      <c r="M7" s="357">
        <f>SUM(J7:L7)</f>
        <v>535080</v>
      </c>
    </row>
    <row r="8" spans="1:13" x14ac:dyDescent="0.25">
      <c r="A8" s="351"/>
      <c r="B8" s="358"/>
      <c r="C8" s="358"/>
      <c r="D8" s="358"/>
      <c r="E8" s="358" t="s">
        <v>86</v>
      </c>
      <c r="F8" s="351"/>
      <c r="G8" s="377"/>
      <c r="H8" s="358" t="s">
        <v>320</v>
      </c>
      <c r="I8" s="351"/>
      <c r="J8" s="359"/>
      <c r="K8" s="359"/>
      <c r="L8" s="359"/>
      <c r="M8" s="358"/>
    </row>
    <row r="9" spans="1:13" x14ac:dyDescent="0.25">
      <c r="A9" s="360">
        <v>2</v>
      </c>
      <c r="B9" s="379" t="s">
        <v>188</v>
      </c>
      <c r="C9" s="361"/>
      <c r="D9" s="361" t="s">
        <v>89</v>
      </c>
      <c r="E9" s="361" t="s">
        <v>85</v>
      </c>
      <c r="F9" s="360">
        <v>6</v>
      </c>
      <c r="G9" s="358" t="s">
        <v>322</v>
      </c>
      <c r="H9" s="361" t="s">
        <v>287</v>
      </c>
      <c r="I9" s="360" t="s">
        <v>323</v>
      </c>
      <c r="J9" s="362">
        <v>350370</v>
      </c>
      <c r="K9" s="362">
        <f>3500*12</f>
        <v>42000</v>
      </c>
      <c r="L9" s="362">
        <v>0</v>
      </c>
      <c r="M9" s="363">
        <f>SUM(J9:L9)</f>
        <v>392370</v>
      </c>
    </row>
    <row r="10" spans="1:13" ht="15.75" thickBot="1" x14ac:dyDescent="0.3">
      <c r="A10" s="364"/>
      <c r="B10" s="365"/>
      <c r="C10" s="365"/>
      <c r="D10" s="365"/>
      <c r="E10" s="365" t="s">
        <v>90</v>
      </c>
      <c r="F10" s="364"/>
      <c r="G10" s="365"/>
      <c r="H10" s="365" t="s">
        <v>320</v>
      </c>
      <c r="I10" s="364"/>
      <c r="J10" s="366"/>
      <c r="K10" s="366"/>
      <c r="L10" s="366"/>
      <c r="M10" s="365"/>
    </row>
    <row r="11" spans="1:13" x14ac:dyDescent="0.25">
      <c r="A11" s="351"/>
      <c r="B11" s="367" t="s">
        <v>186</v>
      </c>
      <c r="C11" s="358"/>
      <c r="D11" s="358"/>
      <c r="E11" s="358"/>
      <c r="F11" s="351"/>
      <c r="G11" s="358"/>
      <c r="H11" s="358"/>
      <c r="I11" s="351"/>
      <c r="J11" s="359"/>
      <c r="K11" s="359"/>
      <c r="L11" s="359"/>
      <c r="M11" s="358"/>
    </row>
    <row r="12" spans="1:13" x14ac:dyDescent="0.25">
      <c r="A12" s="351"/>
      <c r="B12" s="367" t="s">
        <v>187</v>
      </c>
      <c r="C12" s="358"/>
      <c r="D12" s="358"/>
      <c r="E12" s="358"/>
      <c r="F12" s="351"/>
      <c r="G12" s="358"/>
      <c r="H12" s="358"/>
      <c r="I12" s="351"/>
      <c r="J12" s="359"/>
      <c r="K12" s="359"/>
      <c r="L12" s="359"/>
      <c r="M12" s="358"/>
    </row>
    <row r="13" spans="1:13" x14ac:dyDescent="0.25">
      <c r="A13" s="351">
        <v>3</v>
      </c>
      <c r="B13" s="358" t="s">
        <v>325</v>
      </c>
      <c r="C13" s="358" t="s">
        <v>326</v>
      </c>
      <c r="D13" s="358" t="s">
        <v>92</v>
      </c>
      <c r="E13" s="358" t="s">
        <v>93</v>
      </c>
      <c r="F13" s="351">
        <v>7</v>
      </c>
      <c r="G13" s="358" t="s">
        <v>328</v>
      </c>
      <c r="H13" s="358" t="s">
        <v>290</v>
      </c>
      <c r="I13" s="351" t="s">
        <v>323</v>
      </c>
      <c r="J13" s="359">
        <f>26980*12</f>
        <v>323760</v>
      </c>
      <c r="K13" s="359">
        <f>3500*12</f>
        <v>42000</v>
      </c>
      <c r="L13" s="359">
        <v>0</v>
      </c>
      <c r="M13" s="368">
        <f>SUM(J13:L14)</f>
        <v>365760</v>
      </c>
    </row>
    <row r="14" spans="1:13" x14ac:dyDescent="0.25">
      <c r="A14" s="351"/>
      <c r="B14" s="358"/>
      <c r="C14" s="358" t="s">
        <v>327</v>
      </c>
      <c r="D14" s="358"/>
      <c r="E14" s="358" t="s">
        <v>94</v>
      </c>
      <c r="F14" s="351"/>
      <c r="G14" s="358"/>
      <c r="H14" s="358" t="s">
        <v>329</v>
      </c>
      <c r="I14" s="351"/>
      <c r="J14" s="359"/>
      <c r="K14" s="359"/>
      <c r="L14" s="359"/>
      <c r="M14" s="358"/>
    </row>
    <row r="15" spans="1:13" x14ac:dyDescent="0.25">
      <c r="A15" s="369">
        <v>4</v>
      </c>
      <c r="B15" s="370" t="s">
        <v>98</v>
      </c>
      <c r="C15" s="370" t="s">
        <v>330</v>
      </c>
      <c r="D15" s="370" t="s">
        <v>97</v>
      </c>
      <c r="E15" s="370" t="s">
        <v>95</v>
      </c>
      <c r="F15" s="369">
        <v>5</v>
      </c>
      <c r="G15" s="370" t="s">
        <v>332</v>
      </c>
      <c r="H15" s="370" t="s">
        <v>266</v>
      </c>
      <c r="I15" s="369" t="s">
        <v>267</v>
      </c>
      <c r="J15" s="25">
        <f>((22040*6)+(22170*6))</f>
        <v>265260</v>
      </c>
      <c r="K15" s="371">
        <v>0</v>
      </c>
      <c r="L15" s="371">
        <v>0</v>
      </c>
      <c r="M15" s="369"/>
    </row>
    <row r="16" spans="1:13" x14ac:dyDescent="0.25">
      <c r="A16" s="369">
        <v>5</v>
      </c>
      <c r="B16" s="370" t="s">
        <v>99</v>
      </c>
      <c r="C16" s="370" t="s">
        <v>331</v>
      </c>
      <c r="D16" s="370" t="s">
        <v>100</v>
      </c>
      <c r="E16" s="370" t="s">
        <v>16</v>
      </c>
      <c r="F16" s="369" t="s">
        <v>65</v>
      </c>
      <c r="G16" s="370" t="s">
        <v>333</v>
      </c>
      <c r="H16" s="370" t="s">
        <v>16</v>
      </c>
      <c r="I16" s="369" t="s">
        <v>267</v>
      </c>
      <c r="J16" s="25">
        <f>((23080*6)+(23080*6))</f>
        <v>276960</v>
      </c>
      <c r="K16" s="371">
        <v>0</v>
      </c>
      <c r="L16" s="371">
        <v>0</v>
      </c>
      <c r="M16" s="369"/>
    </row>
    <row r="17" spans="1:13" x14ac:dyDescent="0.25">
      <c r="A17" s="369">
        <v>6</v>
      </c>
      <c r="B17" s="380" t="s">
        <v>188</v>
      </c>
      <c r="C17" s="370"/>
      <c r="D17" s="370" t="s">
        <v>104</v>
      </c>
      <c r="E17" s="370" t="s">
        <v>105</v>
      </c>
      <c r="F17" s="369" t="s">
        <v>66</v>
      </c>
      <c r="G17" s="370" t="s">
        <v>334</v>
      </c>
      <c r="H17" s="370" t="s">
        <v>105</v>
      </c>
      <c r="I17" s="369" t="s">
        <v>268</v>
      </c>
      <c r="J17" s="371">
        <v>309000</v>
      </c>
      <c r="K17" s="371">
        <v>0</v>
      </c>
      <c r="L17" s="371">
        <v>0</v>
      </c>
      <c r="M17" s="369"/>
    </row>
    <row r="18" spans="1:13" x14ac:dyDescent="0.25">
      <c r="A18" s="369">
        <v>7</v>
      </c>
      <c r="B18" s="370" t="s">
        <v>101</v>
      </c>
      <c r="C18" s="370" t="s">
        <v>335</v>
      </c>
      <c r="D18" s="370" t="s">
        <v>102</v>
      </c>
      <c r="E18" s="370" t="s">
        <v>17</v>
      </c>
      <c r="F18" s="369" t="s">
        <v>65</v>
      </c>
      <c r="G18" s="370" t="s">
        <v>336</v>
      </c>
      <c r="H18" s="370" t="s">
        <v>271</v>
      </c>
      <c r="I18" s="369" t="s">
        <v>267</v>
      </c>
      <c r="J18" s="25">
        <f>((26580*6)+(26980*6))</f>
        <v>321360</v>
      </c>
      <c r="K18" s="371">
        <v>0</v>
      </c>
      <c r="L18" s="371">
        <v>0</v>
      </c>
      <c r="M18" s="369"/>
    </row>
    <row r="19" spans="1:13" x14ac:dyDescent="0.25">
      <c r="A19" s="369">
        <v>8</v>
      </c>
      <c r="B19" s="378" t="s">
        <v>337</v>
      </c>
      <c r="C19" s="370" t="s">
        <v>338</v>
      </c>
      <c r="D19" s="370" t="s">
        <v>106</v>
      </c>
      <c r="E19" s="370" t="s">
        <v>107</v>
      </c>
      <c r="F19" s="369" t="s">
        <v>66</v>
      </c>
      <c r="G19" s="370" t="s">
        <v>339</v>
      </c>
      <c r="H19" s="370" t="s">
        <v>107</v>
      </c>
      <c r="I19" s="369" t="s">
        <v>269</v>
      </c>
      <c r="J19" s="372">
        <f>(7140+33310)/2*12</f>
        <v>242700</v>
      </c>
      <c r="K19" s="371">
        <v>0</v>
      </c>
      <c r="L19" s="371">
        <v>0</v>
      </c>
      <c r="M19" s="369"/>
    </row>
    <row r="20" spans="1:13" x14ac:dyDescent="0.25">
      <c r="A20" s="369">
        <v>9</v>
      </c>
      <c r="B20" s="380" t="s">
        <v>188</v>
      </c>
      <c r="C20" s="370"/>
      <c r="D20" s="369" t="s">
        <v>182</v>
      </c>
      <c r="E20" s="378" t="s">
        <v>179</v>
      </c>
      <c r="F20" s="369" t="s">
        <v>66</v>
      </c>
      <c r="G20" s="370" t="s">
        <v>346</v>
      </c>
      <c r="H20" s="370" t="s">
        <v>179</v>
      </c>
      <c r="I20" s="369" t="s">
        <v>268</v>
      </c>
      <c r="J20" s="25">
        <v>309000</v>
      </c>
      <c r="K20" s="371">
        <v>0</v>
      </c>
      <c r="L20" s="371">
        <v>0</v>
      </c>
      <c r="M20" s="369"/>
    </row>
    <row r="21" spans="1:13" x14ac:dyDescent="0.25">
      <c r="A21" s="369">
        <v>10</v>
      </c>
      <c r="B21" s="370" t="s">
        <v>340</v>
      </c>
      <c r="C21" s="370" t="s">
        <v>335</v>
      </c>
      <c r="D21" s="369" t="s">
        <v>181</v>
      </c>
      <c r="E21" s="378" t="s">
        <v>180</v>
      </c>
      <c r="F21" s="369">
        <v>4</v>
      </c>
      <c r="G21" s="370" t="s">
        <v>341</v>
      </c>
      <c r="H21" s="370" t="s">
        <v>273</v>
      </c>
      <c r="I21" s="369" t="s">
        <v>269</v>
      </c>
      <c r="J21" s="25">
        <f>((18480*6)+(18520*6))</f>
        <v>222000</v>
      </c>
      <c r="K21" s="371">
        <v>0</v>
      </c>
      <c r="L21" s="371">
        <v>0</v>
      </c>
      <c r="M21" s="369"/>
    </row>
    <row r="22" spans="1:13" x14ac:dyDescent="0.25">
      <c r="A22" s="369">
        <v>11</v>
      </c>
      <c r="B22" s="380" t="s">
        <v>188</v>
      </c>
      <c r="C22" s="370"/>
      <c r="D22" s="370" t="s">
        <v>108</v>
      </c>
      <c r="E22" s="378" t="s">
        <v>109</v>
      </c>
      <c r="F22" s="373" t="s">
        <v>110</v>
      </c>
      <c r="G22" s="370" t="s">
        <v>342</v>
      </c>
      <c r="H22" s="370" t="s">
        <v>109</v>
      </c>
      <c r="I22" s="373" t="s">
        <v>270</v>
      </c>
      <c r="J22" s="372">
        <v>256440</v>
      </c>
      <c r="K22" s="371">
        <v>0</v>
      </c>
      <c r="L22" s="371">
        <v>0</v>
      </c>
      <c r="M22" s="369"/>
    </row>
    <row r="23" spans="1:13" x14ac:dyDescent="0.25">
      <c r="A23" s="369">
        <v>12</v>
      </c>
      <c r="B23" s="380" t="s">
        <v>188</v>
      </c>
      <c r="C23" s="370"/>
      <c r="D23" s="369" t="s">
        <v>244</v>
      </c>
      <c r="E23" s="378" t="s">
        <v>243</v>
      </c>
      <c r="F23" s="374" t="s">
        <v>110</v>
      </c>
      <c r="G23" s="369" t="s">
        <v>343</v>
      </c>
      <c r="H23" s="370" t="s">
        <v>243</v>
      </c>
      <c r="I23" s="373" t="s">
        <v>270</v>
      </c>
      <c r="J23" s="372">
        <v>256440</v>
      </c>
      <c r="K23" s="371">
        <v>0</v>
      </c>
      <c r="L23" s="371">
        <v>0</v>
      </c>
      <c r="M23" s="369"/>
    </row>
    <row r="24" spans="1:13" x14ac:dyDescent="0.25">
      <c r="A24" s="369">
        <v>13</v>
      </c>
      <c r="B24" s="370" t="s">
        <v>183</v>
      </c>
      <c r="C24" s="370" t="s">
        <v>347</v>
      </c>
      <c r="D24" s="370" t="s">
        <v>112</v>
      </c>
      <c r="E24" s="370" t="s">
        <v>13</v>
      </c>
      <c r="F24" s="374" t="s">
        <v>111</v>
      </c>
      <c r="G24" s="370" t="s">
        <v>344</v>
      </c>
      <c r="H24" s="370" t="s">
        <v>274</v>
      </c>
      <c r="I24" s="374" t="s">
        <v>272</v>
      </c>
      <c r="J24" s="25">
        <f>((11490*6)+(11510*6))</f>
        <v>138000</v>
      </c>
      <c r="K24" s="371">
        <v>0</v>
      </c>
      <c r="L24" s="371">
        <v>0</v>
      </c>
      <c r="M24" s="369"/>
    </row>
    <row r="25" spans="1:13" x14ac:dyDescent="0.25">
      <c r="A25" s="369">
        <v>14</v>
      </c>
      <c r="B25" s="370" t="s">
        <v>113</v>
      </c>
      <c r="C25" s="370" t="s">
        <v>348</v>
      </c>
      <c r="D25" s="370" t="s">
        <v>122</v>
      </c>
      <c r="E25" s="370" t="s">
        <v>345</v>
      </c>
      <c r="F25" s="369" t="s">
        <v>175</v>
      </c>
      <c r="G25" s="370" t="s">
        <v>122</v>
      </c>
      <c r="H25" s="370" t="s">
        <v>345</v>
      </c>
      <c r="I25" s="369" t="s">
        <v>175</v>
      </c>
      <c r="J25" s="372">
        <v>0</v>
      </c>
      <c r="K25" s="372">
        <v>0</v>
      </c>
      <c r="L25" s="372">
        <v>0</v>
      </c>
      <c r="M25" s="369"/>
    </row>
    <row r="26" spans="1:13" x14ac:dyDescent="0.25">
      <c r="A26" s="369">
        <v>15</v>
      </c>
      <c r="B26" s="370" t="s">
        <v>114</v>
      </c>
      <c r="C26" s="370" t="s">
        <v>349</v>
      </c>
      <c r="D26" s="370" t="s">
        <v>123</v>
      </c>
      <c r="E26" s="370" t="s">
        <v>345</v>
      </c>
      <c r="F26" s="369" t="s">
        <v>175</v>
      </c>
      <c r="G26" s="370" t="s">
        <v>123</v>
      </c>
      <c r="H26" s="370" t="s">
        <v>345</v>
      </c>
      <c r="I26" s="369" t="s">
        <v>175</v>
      </c>
      <c r="J26" s="372">
        <v>0</v>
      </c>
      <c r="K26" s="372">
        <v>0</v>
      </c>
      <c r="L26" s="372">
        <v>0</v>
      </c>
      <c r="M26" s="369"/>
    </row>
    <row r="27" spans="1:13" x14ac:dyDescent="0.25">
      <c r="A27" s="369">
        <v>16</v>
      </c>
      <c r="B27" s="370" t="s">
        <v>115</v>
      </c>
      <c r="C27" s="370" t="s">
        <v>350</v>
      </c>
      <c r="D27" s="370" t="s">
        <v>124</v>
      </c>
      <c r="E27" s="370" t="s">
        <v>345</v>
      </c>
      <c r="F27" s="369" t="s">
        <v>175</v>
      </c>
      <c r="G27" s="370" t="s">
        <v>124</v>
      </c>
      <c r="H27" s="370" t="s">
        <v>345</v>
      </c>
      <c r="I27" s="369" t="s">
        <v>175</v>
      </c>
      <c r="J27" s="372">
        <v>0</v>
      </c>
      <c r="K27" s="372">
        <v>0</v>
      </c>
      <c r="L27" s="372">
        <v>0</v>
      </c>
      <c r="M27" s="369"/>
    </row>
    <row r="28" spans="1:13" x14ac:dyDescent="0.25">
      <c r="A28" s="369">
        <v>17</v>
      </c>
      <c r="B28" s="370" t="s">
        <v>116</v>
      </c>
      <c r="C28" s="370" t="s">
        <v>350</v>
      </c>
      <c r="D28" s="370" t="s">
        <v>119</v>
      </c>
      <c r="E28" s="370" t="s">
        <v>345</v>
      </c>
      <c r="F28" s="369" t="s">
        <v>175</v>
      </c>
      <c r="G28" s="370" t="s">
        <v>119</v>
      </c>
      <c r="H28" s="370" t="s">
        <v>345</v>
      </c>
      <c r="I28" s="369" t="s">
        <v>175</v>
      </c>
      <c r="J28" s="372">
        <v>0</v>
      </c>
      <c r="K28" s="372">
        <v>0</v>
      </c>
      <c r="L28" s="372">
        <v>0</v>
      </c>
      <c r="M28" s="369"/>
    </row>
    <row r="29" spans="1:13" x14ac:dyDescent="0.25">
      <c r="A29" s="369">
        <v>18</v>
      </c>
      <c r="B29" s="370" t="s">
        <v>117</v>
      </c>
      <c r="C29" s="370" t="s">
        <v>350</v>
      </c>
      <c r="D29" s="370" t="s">
        <v>120</v>
      </c>
      <c r="E29" s="370" t="s">
        <v>345</v>
      </c>
      <c r="F29" s="369" t="s">
        <v>175</v>
      </c>
      <c r="G29" s="370" t="s">
        <v>120</v>
      </c>
      <c r="H29" s="370" t="s">
        <v>345</v>
      </c>
      <c r="I29" s="369" t="s">
        <v>175</v>
      </c>
      <c r="J29" s="372">
        <v>0</v>
      </c>
      <c r="K29" s="372">
        <v>0</v>
      </c>
      <c r="L29" s="372">
        <v>0</v>
      </c>
      <c r="M29" s="369"/>
    </row>
    <row r="30" spans="1:13" x14ac:dyDescent="0.25">
      <c r="A30" s="360">
        <v>19</v>
      </c>
      <c r="B30" s="361" t="s">
        <v>118</v>
      </c>
      <c r="C30" s="361" t="s">
        <v>184</v>
      </c>
      <c r="D30" s="361" t="s">
        <v>121</v>
      </c>
      <c r="E30" s="361" t="s">
        <v>345</v>
      </c>
      <c r="F30" s="360" t="s">
        <v>175</v>
      </c>
      <c r="G30" s="361" t="s">
        <v>121</v>
      </c>
      <c r="H30" s="361" t="s">
        <v>345</v>
      </c>
      <c r="I30" s="360" t="s">
        <v>175</v>
      </c>
      <c r="J30" s="381">
        <v>0</v>
      </c>
      <c r="K30" s="381">
        <v>0</v>
      </c>
      <c r="L30" s="381">
        <v>0</v>
      </c>
      <c r="M30" s="360"/>
    </row>
    <row r="31" spans="1:13" x14ac:dyDescent="0.25">
      <c r="A31" s="376">
        <v>20</v>
      </c>
      <c r="B31" s="423" t="s">
        <v>188</v>
      </c>
      <c r="C31" s="375"/>
      <c r="D31" s="375"/>
      <c r="E31" s="375" t="s">
        <v>257</v>
      </c>
      <c r="F31" s="376" t="s">
        <v>175</v>
      </c>
      <c r="G31" s="375" t="s">
        <v>122</v>
      </c>
      <c r="H31" s="375" t="s">
        <v>257</v>
      </c>
      <c r="I31" s="360" t="s">
        <v>175</v>
      </c>
      <c r="J31" s="381">
        <v>0</v>
      </c>
      <c r="K31" s="381">
        <v>0</v>
      </c>
      <c r="L31" s="381">
        <v>0</v>
      </c>
      <c r="M31" s="376"/>
    </row>
    <row r="32" spans="1:13" ht="9" customHeight="1" x14ac:dyDescent="0.25">
      <c r="A32" s="278"/>
      <c r="B32" s="156"/>
      <c r="C32" s="156"/>
      <c r="D32" s="156"/>
      <c r="E32" s="156"/>
      <c r="F32" s="278"/>
      <c r="G32" s="156"/>
      <c r="H32" s="156"/>
      <c r="I32" s="278"/>
      <c r="J32" s="157"/>
      <c r="K32" s="157"/>
      <c r="L32" s="157"/>
      <c r="M32" s="235"/>
    </row>
    <row r="33" spans="1:13" ht="20.25" x14ac:dyDescent="0.25">
      <c r="A33" s="281"/>
      <c r="B33" s="281"/>
      <c r="C33" s="281"/>
      <c r="D33" s="281"/>
      <c r="E33" s="281"/>
      <c r="F33" s="281"/>
      <c r="G33" s="281"/>
      <c r="H33" s="281"/>
      <c r="I33" s="281"/>
      <c r="J33" s="281"/>
      <c r="K33" s="281"/>
      <c r="L33" s="281"/>
      <c r="M33" s="237">
        <v>27</v>
      </c>
    </row>
    <row r="34" spans="1:13" x14ac:dyDescent="0.25">
      <c r="A34" s="281"/>
      <c r="B34" s="281"/>
      <c r="C34" s="281"/>
      <c r="D34" s="281"/>
      <c r="E34" s="281"/>
      <c r="F34" s="281"/>
      <c r="G34" s="281"/>
      <c r="H34" s="281"/>
      <c r="I34" s="281"/>
      <c r="J34" s="281"/>
      <c r="K34" s="281"/>
      <c r="L34" s="281"/>
      <c r="M34" s="237"/>
    </row>
    <row r="35" spans="1:13" x14ac:dyDescent="0.25">
      <c r="A35" s="130"/>
      <c r="B35" s="128"/>
      <c r="C35" s="128"/>
      <c r="D35" s="128"/>
      <c r="E35" s="128"/>
      <c r="F35" s="128"/>
      <c r="G35" s="128"/>
      <c r="H35" s="128"/>
      <c r="I35" s="130"/>
      <c r="J35" s="128"/>
      <c r="K35" s="128"/>
      <c r="L35" s="128"/>
      <c r="M35" s="128"/>
    </row>
    <row r="36" spans="1:13" x14ac:dyDescent="0.25">
      <c r="A36" s="436" t="s">
        <v>5</v>
      </c>
      <c r="B36" s="436" t="s">
        <v>73</v>
      </c>
      <c r="C36" s="349" t="s">
        <v>74</v>
      </c>
      <c r="D36" s="439" t="s">
        <v>77</v>
      </c>
      <c r="E36" s="440"/>
      <c r="F36" s="440"/>
      <c r="G36" s="439" t="s">
        <v>78</v>
      </c>
      <c r="H36" s="440"/>
      <c r="I36" s="441"/>
      <c r="J36" s="442" t="s">
        <v>79</v>
      </c>
      <c r="K36" s="443"/>
      <c r="L36" s="444"/>
      <c r="M36" s="350"/>
    </row>
    <row r="37" spans="1:13" x14ac:dyDescent="0.25">
      <c r="A37" s="437"/>
      <c r="B37" s="437"/>
      <c r="C37" s="351" t="s">
        <v>75</v>
      </c>
      <c r="D37" s="436" t="s">
        <v>76</v>
      </c>
      <c r="E37" s="436" t="s">
        <v>9</v>
      </c>
      <c r="F37" s="436" t="s">
        <v>7</v>
      </c>
      <c r="G37" s="436" t="s">
        <v>76</v>
      </c>
      <c r="H37" s="436" t="s">
        <v>9</v>
      </c>
      <c r="I37" s="436" t="s">
        <v>7</v>
      </c>
      <c r="J37" s="436" t="s">
        <v>79</v>
      </c>
      <c r="K37" s="436" t="s">
        <v>80</v>
      </c>
      <c r="L37" s="349" t="s">
        <v>81</v>
      </c>
      <c r="M37" s="352" t="s">
        <v>59</v>
      </c>
    </row>
    <row r="38" spans="1:13" x14ac:dyDescent="0.25">
      <c r="A38" s="438"/>
      <c r="B38" s="438"/>
      <c r="C38" s="353"/>
      <c r="D38" s="438"/>
      <c r="E38" s="438"/>
      <c r="F38" s="438"/>
      <c r="G38" s="438"/>
      <c r="H38" s="438"/>
      <c r="I38" s="438"/>
      <c r="J38" s="438"/>
      <c r="K38" s="438"/>
      <c r="L38" s="354" t="s">
        <v>82</v>
      </c>
      <c r="M38" s="355"/>
    </row>
    <row r="39" spans="1:13" x14ac:dyDescent="0.25">
      <c r="A39" s="384"/>
      <c r="B39" s="385" t="s">
        <v>41</v>
      </c>
      <c r="C39" s="350"/>
      <c r="D39" s="384"/>
      <c r="E39" s="384"/>
      <c r="F39" s="384"/>
      <c r="G39" s="384"/>
      <c r="H39" s="384"/>
      <c r="I39" s="384"/>
      <c r="J39" s="384"/>
      <c r="K39" s="384"/>
      <c r="L39" s="349"/>
      <c r="M39" s="386"/>
    </row>
    <row r="40" spans="1:13" x14ac:dyDescent="0.25">
      <c r="A40" s="387">
        <v>21</v>
      </c>
      <c r="B40" s="377" t="s">
        <v>125</v>
      </c>
      <c r="C40" s="377" t="s">
        <v>350</v>
      </c>
      <c r="D40" s="387" t="s">
        <v>175</v>
      </c>
      <c r="E40" s="377" t="s">
        <v>51</v>
      </c>
      <c r="F40" s="387" t="s">
        <v>175</v>
      </c>
      <c r="G40" s="387" t="s">
        <v>175</v>
      </c>
      <c r="H40" s="377" t="s">
        <v>51</v>
      </c>
      <c r="I40" s="387" t="s">
        <v>175</v>
      </c>
      <c r="J40" s="403">
        <v>0</v>
      </c>
      <c r="K40" s="403">
        <v>0</v>
      </c>
      <c r="L40" s="403">
        <v>0</v>
      </c>
      <c r="M40" s="377"/>
    </row>
    <row r="41" spans="1:13" x14ac:dyDescent="0.25">
      <c r="A41" s="369">
        <v>22</v>
      </c>
      <c r="B41" s="370" t="s">
        <v>126</v>
      </c>
      <c r="C41" s="370" t="s">
        <v>350</v>
      </c>
      <c r="D41" s="387" t="s">
        <v>175</v>
      </c>
      <c r="E41" s="370" t="s">
        <v>50</v>
      </c>
      <c r="F41" s="387" t="s">
        <v>175</v>
      </c>
      <c r="G41" s="387" t="s">
        <v>175</v>
      </c>
      <c r="H41" s="370" t="s">
        <v>50</v>
      </c>
      <c r="I41" s="387" t="s">
        <v>175</v>
      </c>
      <c r="J41" s="372">
        <v>0</v>
      </c>
      <c r="K41" s="372">
        <v>0</v>
      </c>
      <c r="L41" s="372">
        <v>0</v>
      </c>
      <c r="M41" s="370"/>
    </row>
    <row r="42" spans="1:13" x14ac:dyDescent="0.25">
      <c r="A42" s="369">
        <v>23</v>
      </c>
      <c r="B42" s="370" t="s">
        <v>127</v>
      </c>
      <c r="C42" s="370" t="s">
        <v>350</v>
      </c>
      <c r="D42" s="387" t="s">
        <v>175</v>
      </c>
      <c r="E42" s="370" t="s">
        <v>50</v>
      </c>
      <c r="F42" s="387" t="s">
        <v>175</v>
      </c>
      <c r="G42" s="387" t="s">
        <v>175</v>
      </c>
      <c r="H42" s="370" t="s">
        <v>50</v>
      </c>
      <c r="I42" s="387" t="s">
        <v>175</v>
      </c>
      <c r="J42" s="372">
        <v>0</v>
      </c>
      <c r="K42" s="372">
        <v>0</v>
      </c>
      <c r="L42" s="372">
        <v>0</v>
      </c>
      <c r="M42" s="370"/>
    </row>
    <row r="43" spans="1:13" x14ac:dyDescent="0.25">
      <c r="A43" s="387">
        <v>24</v>
      </c>
      <c r="B43" s="370" t="s">
        <v>128</v>
      </c>
      <c r="C43" s="370" t="s">
        <v>350</v>
      </c>
      <c r="D43" s="387" t="s">
        <v>175</v>
      </c>
      <c r="E43" s="370" t="s">
        <v>50</v>
      </c>
      <c r="F43" s="387" t="s">
        <v>175</v>
      </c>
      <c r="G43" s="387" t="s">
        <v>175</v>
      </c>
      <c r="H43" s="370" t="s">
        <v>50</v>
      </c>
      <c r="I43" s="387" t="s">
        <v>175</v>
      </c>
      <c r="J43" s="372">
        <v>0</v>
      </c>
      <c r="K43" s="372">
        <v>0</v>
      </c>
      <c r="L43" s="372">
        <v>0</v>
      </c>
      <c r="M43" s="370"/>
    </row>
    <row r="44" spans="1:13" x14ac:dyDescent="0.25">
      <c r="A44" s="369">
        <v>25</v>
      </c>
      <c r="B44" s="370" t="s">
        <v>129</v>
      </c>
      <c r="C44" s="370" t="s">
        <v>351</v>
      </c>
      <c r="D44" s="387" t="s">
        <v>175</v>
      </c>
      <c r="E44" s="370" t="s">
        <v>52</v>
      </c>
      <c r="F44" s="387" t="s">
        <v>175</v>
      </c>
      <c r="G44" s="387" t="s">
        <v>175</v>
      </c>
      <c r="H44" s="370" t="s">
        <v>52</v>
      </c>
      <c r="I44" s="387" t="s">
        <v>175</v>
      </c>
      <c r="J44" s="25">
        <f>16890*12</f>
        <v>202680</v>
      </c>
      <c r="K44" s="371">
        <v>0</v>
      </c>
      <c r="L44" s="371">
        <v>0</v>
      </c>
      <c r="M44" s="370"/>
    </row>
    <row r="45" spans="1:13" x14ac:dyDescent="0.25">
      <c r="A45" s="369">
        <v>26</v>
      </c>
      <c r="B45" s="380" t="s">
        <v>188</v>
      </c>
      <c r="C45" s="370"/>
      <c r="D45" s="387" t="s">
        <v>175</v>
      </c>
      <c r="E45" s="369" t="s">
        <v>193</v>
      </c>
      <c r="F45" s="387" t="s">
        <v>175</v>
      </c>
      <c r="G45" s="387" t="s">
        <v>175</v>
      </c>
      <c r="H45" s="388" t="s">
        <v>193</v>
      </c>
      <c r="I45" s="387" t="s">
        <v>175</v>
      </c>
      <c r="J45" s="414">
        <f>11500*12</f>
        <v>138000</v>
      </c>
      <c r="K45" s="371">
        <v>0</v>
      </c>
      <c r="L45" s="371">
        <v>0</v>
      </c>
      <c r="M45" s="369"/>
    </row>
    <row r="46" spans="1:13" x14ac:dyDescent="0.25">
      <c r="A46" s="387">
        <v>27</v>
      </c>
      <c r="B46" s="370" t="s">
        <v>130</v>
      </c>
      <c r="C46" s="370" t="s">
        <v>352</v>
      </c>
      <c r="D46" s="387" t="s">
        <v>175</v>
      </c>
      <c r="E46" s="370" t="s">
        <v>49</v>
      </c>
      <c r="F46" s="387" t="s">
        <v>175</v>
      </c>
      <c r="G46" s="387" t="s">
        <v>175</v>
      </c>
      <c r="H46" s="370" t="s">
        <v>49</v>
      </c>
      <c r="I46" s="387" t="s">
        <v>175</v>
      </c>
      <c r="J46" s="25">
        <f>12320*12</f>
        <v>147840</v>
      </c>
      <c r="K46" s="371">
        <v>0</v>
      </c>
      <c r="L46" s="371">
        <v>0</v>
      </c>
      <c r="M46" s="370"/>
    </row>
    <row r="47" spans="1:13" x14ac:dyDescent="0.25">
      <c r="A47" s="369">
        <v>28</v>
      </c>
      <c r="B47" s="370" t="s">
        <v>131</v>
      </c>
      <c r="C47" s="370" t="s">
        <v>171</v>
      </c>
      <c r="D47" s="387" t="s">
        <v>175</v>
      </c>
      <c r="E47" s="370" t="s">
        <v>48</v>
      </c>
      <c r="F47" s="387" t="s">
        <v>175</v>
      </c>
      <c r="G47" s="387" t="s">
        <v>175</v>
      </c>
      <c r="H47" s="370" t="s">
        <v>48</v>
      </c>
      <c r="I47" s="387" t="s">
        <v>175</v>
      </c>
      <c r="J47" s="25">
        <f>11420*12</f>
        <v>137040</v>
      </c>
      <c r="K47" s="371">
        <v>0</v>
      </c>
      <c r="L47" s="371">
        <v>0</v>
      </c>
      <c r="M47" s="370"/>
    </row>
    <row r="48" spans="1:13" x14ac:dyDescent="0.25">
      <c r="A48" s="369">
        <v>29</v>
      </c>
      <c r="B48" s="370" t="s">
        <v>133</v>
      </c>
      <c r="C48" s="370" t="s">
        <v>171</v>
      </c>
      <c r="D48" s="387" t="s">
        <v>175</v>
      </c>
      <c r="E48" s="370" t="s">
        <v>132</v>
      </c>
      <c r="F48" s="387" t="s">
        <v>175</v>
      </c>
      <c r="G48" s="387" t="s">
        <v>175</v>
      </c>
      <c r="H48" s="370" t="s">
        <v>132</v>
      </c>
      <c r="I48" s="387" t="s">
        <v>175</v>
      </c>
      <c r="J48" s="25">
        <f>10480*12</f>
        <v>125760</v>
      </c>
      <c r="K48" s="371">
        <v>0</v>
      </c>
      <c r="L48" s="371">
        <v>0</v>
      </c>
      <c r="M48" s="370"/>
    </row>
    <row r="49" spans="1:13" x14ac:dyDescent="0.25">
      <c r="A49" s="387">
        <v>30</v>
      </c>
      <c r="B49" s="370" t="s">
        <v>353</v>
      </c>
      <c r="C49" s="370" t="s">
        <v>171</v>
      </c>
      <c r="D49" s="387" t="s">
        <v>175</v>
      </c>
      <c r="E49" s="415" t="s">
        <v>194</v>
      </c>
      <c r="F49" s="387" t="s">
        <v>175</v>
      </c>
      <c r="G49" s="387" t="s">
        <v>175</v>
      </c>
      <c r="H49" s="370" t="s">
        <v>194</v>
      </c>
      <c r="I49" s="387" t="s">
        <v>175</v>
      </c>
      <c r="J49" s="25">
        <f>9400*12</f>
        <v>112800</v>
      </c>
      <c r="K49" s="371">
        <v>0</v>
      </c>
      <c r="L49" s="371">
        <v>0</v>
      </c>
      <c r="M49" s="370"/>
    </row>
    <row r="50" spans="1:13" x14ac:dyDescent="0.25">
      <c r="A50" s="351"/>
      <c r="B50" s="367" t="s">
        <v>38</v>
      </c>
      <c r="C50" s="358"/>
      <c r="D50" s="351"/>
      <c r="E50" s="358"/>
      <c r="F50" s="351"/>
      <c r="G50" s="351"/>
      <c r="H50" s="358"/>
      <c r="I50" s="351"/>
      <c r="J50" s="359"/>
      <c r="K50" s="359"/>
      <c r="L50" s="359"/>
      <c r="M50" s="358"/>
    </row>
    <row r="51" spans="1:13" x14ac:dyDescent="0.25">
      <c r="A51" s="387">
        <v>31</v>
      </c>
      <c r="B51" s="377" t="s">
        <v>134</v>
      </c>
      <c r="C51" s="377"/>
      <c r="D51" s="387" t="s">
        <v>175</v>
      </c>
      <c r="E51" s="377" t="s">
        <v>46</v>
      </c>
      <c r="F51" s="387" t="s">
        <v>175</v>
      </c>
      <c r="G51" s="387" t="s">
        <v>175</v>
      </c>
      <c r="H51" s="377" t="s">
        <v>46</v>
      </c>
      <c r="I51" s="387" t="s">
        <v>175</v>
      </c>
      <c r="J51" s="36">
        <f>12810*12</f>
        <v>153720</v>
      </c>
      <c r="K51" s="389">
        <v>0</v>
      </c>
      <c r="L51" s="389">
        <v>0</v>
      </c>
      <c r="M51" s="377"/>
    </row>
    <row r="52" spans="1:13" x14ac:dyDescent="0.25">
      <c r="A52" s="351"/>
      <c r="B52" s="367" t="s">
        <v>36</v>
      </c>
      <c r="C52" s="358"/>
      <c r="D52" s="360"/>
      <c r="E52" s="358"/>
      <c r="F52" s="360"/>
      <c r="G52" s="360"/>
      <c r="H52" s="358"/>
      <c r="I52" s="360"/>
      <c r="J52" s="359"/>
      <c r="K52" s="359"/>
      <c r="L52" s="359"/>
      <c r="M52" s="358"/>
    </row>
    <row r="53" spans="1:13" x14ac:dyDescent="0.25">
      <c r="A53" s="387">
        <v>32</v>
      </c>
      <c r="B53" s="377" t="s">
        <v>135</v>
      </c>
      <c r="C53" s="377"/>
      <c r="D53" s="387" t="s">
        <v>175</v>
      </c>
      <c r="E53" s="390" t="s">
        <v>47</v>
      </c>
      <c r="F53" s="387" t="s">
        <v>175</v>
      </c>
      <c r="G53" s="387" t="s">
        <v>175</v>
      </c>
      <c r="H53" s="390" t="s">
        <v>47</v>
      </c>
      <c r="I53" s="387" t="s">
        <v>175</v>
      </c>
      <c r="J53" s="389">
        <f>9000*12</f>
        <v>108000</v>
      </c>
      <c r="K53" s="389">
        <v>0</v>
      </c>
      <c r="L53" s="389">
        <v>0</v>
      </c>
      <c r="M53" s="358"/>
    </row>
    <row r="54" spans="1:13" x14ac:dyDescent="0.25">
      <c r="A54" s="369">
        <v>33</v>
      </c>
      <c r="B54" s="370" t="s">
        <v>136</v>
      </c>
      <c r="C54" s="370"/>
      <c r="D54" s="387" t="s">
        <v>175</v>
      </c>
      <c r="E54" s="388" t="s">
        <v>47</v>
      </c>
      <c r="F54" s="387" t="s">
        <v>175</v>
      </c>
      <c r="G54" s="387" t="s">
        <v>175</v>
      </c>
      <c r="H54" s="388" t="s">
        <v>47</v>
      </c>
      <c r="I54" s="387" t="s">
        <v>175</v>
      </c>
      <c r="J54" s="371">
        <f>9000*12</f>
        <v>108000</v>
      </c>
      <c r="K54" s="371">
        <v>0</v>
      </c>
      <c r="L54" s="371">
        <v>0</v>
      </c>
      <c r="M54" s="370"/>
    </row>
    <row r="55" spans="1:13" x14ac:dyDescent="0.25">
      <c r="A55" s="369">
        <v>34</v>
      </c>
      <c r="B55" s="370" t="s">
        <v>137</v>
      </c>
      <c r="C55" s="370"/>
      <c r="D55" s="387" t="s">
        <v>175</v>
      </c>
      <c r="E55" s="370" t="s">
        <v>46</v>
      </c>
      <c r="F55" s="387" t="s">
        <v>175</v>
      </c>
      <c r="G55" s="387" t="s">
        <v>175</v>
      </c>
      <c r="H55" s="370" t="s">
        <v>46</v>
      </c>
      <c r="I55" s="387" t="s">
        <v>175</v>
      </c>
      <c r="J55" s="371">
        <f>9000*12</f>
        <v>108000</v>
      </c>
      <c r="K55" s="371">
        <v>0</v>
      </c>
      <c r="L55" s="371">
        <v>0</v>
      </c>
      <c r="M55" s="370"/>
    </row>
    <row r="56" spans="1:13" x14ac:dyDescent="0.25">
      <c r="A56" s="369">
        <v>35</v>
      </c>
      <c r="B56" s="370" t="s">
        <v>138</v>
      </c>
      <c r="C56" s="370"/>
      <c r="D56" s="369" t="s">
        <v>175</v>
      </c>
      <c r="E56" s="370" t="s">
        <v>45</v>
      </c>
      <c r="F56" s="369" t="s">
        <v>175</v>
      </c>
      <c r="G56" s="369" t="s">
        <v>175</v>
      </c>
      <c r="H56" s="370" t="s">
        <v>45</v>
      </c>
      <c r="I56" s="369" t="s">
        <v>175</v>
      </c>
      <c r="J56" s="371">
        <f>9000*12</f>
        <v>108000</v>
      </c>
      <c r="K56" s="371">
        <v>0</v>
      </c>
      <c r="L56" s="371">
        <v>0</v>
      </c>
      <c r="M56" s="370"/>
    </row>
    <row r="57" spans="1:13" ht="15.75" thickBot="1" x14ac:dyDescent="0.3">
      <c r="A57" s="391">
        <v>36</v>
      </c>
      <c r="B57" s="391" t="s">
        <v>188</v>
      </c>
      <c r="C57" s="392"/>
      <c r="D57" s="391" t="s">
        <v>175</v>
      </c>
      <c r="E57" s="392" t="s">
        <v>44</v>
      </c>
      <c r="F57" s="391" t="s">
        <v>175</v>
      </c>
      <c r="G57" s="391" t="s">
        <v>175</v>
      </c>
      <c r="H57" s="392" t="s">
        <v>44</v>
      </c>
      <c r="I57" s="391" t="s">
        <v>175</v>
      </c>
      <c r="J57" s="393">
        <f>9000*12</f>
        <v>108000</v>
      </c>
      <c r="K57" s="393">
        <v>0</v>
      </c>
      <c r="L57" s="393">
        <v>0</v>
      </c>
      <c r="M57" s="392"/>
    </row>
    <row r="58" spans="1:13" x14ac:dyDescent="0.25">
      <c r="A58" s="351"/>
      <c r="B58" s="367" t="s">
        <v>140</v>
      </c>
      <c r="C58" s="358"/>
      <c r="D58" s="358"/>
      <c r="E58" s="358"/>
      <c r="F58" s="358"/>
      <c r="G58" s="358"/>
      <c r="H58" s="358"/>
      <c r="I58" s="358"/>
      <c r="J58" s="359"/>
      <c r="K58" s="359"/>
      <c r="L58" s="359"/>
      <c r="M58" s="358"/>
    </row>
    <row r="59" spans="1:13" x14ac:dyDescent="0.25">
      <c r="A59" s="351"/>
      <c r="B59" s="367" t="s">
        <v>187</v>
      </c>
      <c r="C59" s="358"/>
      <c r="D59" s="358"/>
      <c r="E59" s="358"/>
      <c r="F59" s="358"/>
      <c r="G59" s="358"/>
      <c r="H59" s="358"/>
      <c r="I59" s="358"/>
      <c r="J59" s="359"/>
      <c r="K59" s="359"/>
      <c r="L59" s="359"/>
      <c r="M59" s="358"/>
    </row>
    <row r="60" spans="1:13" x14ac:dyDescent="0.25">
      <c r="A60" s="351">
        <v>37</v>
      </c>
      <c r="B60" s="358" t="s">
        <v>141</v>
      </c>
      <c r="C60" s="358" t="s">
        <v>354</v>
      </c>
      <c r="D60" s="358" t="s">
        <v>142</v>
      </c>
      <c r="E60" s="358" t="s">
        <v>301</v>
      </c>
      <c r="F60" s="351">
        <v>7</v>
      </c>
      <c r="G60" s="358" t="s">
        <v>355</v>
      </c>
      <c r="H60" s="358" t="s">
        <v>301</v>
      </c>
      <c r="I60" s="351" t="s">
        <v>323</v>
      </c>
      <c r="J60" s="36">
        <f>((29110*6)+(29110*6))+((3500*3)+(3500*9))</f>
        <v>391320</v>
      </c>
      <c r="K60" s="359">
        <f>3500*12</f>
        <v>42000</v>
      </c>
      <c r="L60" s="359">
        <v>0</v>
      </c>
      <c r="M60" s="368">
        <f>SUM(J60:L60)</f>
        <v>433320</v>
      </c>
    </row>
    <row r="61" spans="1:13" x14ac:dyDescent="0.25">
      <c r="A61" s="387"/>
      <c r="B61" s="377"/>
      <c r="C61" s="377"/>
      <c r="D61" s="377"/>
      <c r="E61" s="377" t="s">
        <v>356</v>
      </c>
      <c r="F61" s="387"/>
      <c r="G61" s="377"/>
      <c r="H61" s="377" t="s">
        <v>356</v>
      </c>
      <c r="I61" s="387"/>
      <c r="J61" s="389"/>
      <c r="K61" s="389"/>
      <c r="L61" s="389"/>
      <c r="M61" s="377"/>
    </row>
    <row r="62" spans="1:13" x14ac:dyDescent="0.25">
      <c r="A62" s="369">
        <v>38</v>
      </c>
      <c r="B62" s="370" t="s">
        <v>144</v>
      </c>
      <c r="C62" s="370" t="s">
        <v>354</v>
      </c>
      <c r="D62" s="370" t="s">
        <v>145</v>
      </c>
      <c r="E62" s="370" t="s">
        <v>18</v>
      </c>
      <c r="F62" s="369" t="s">
        <v>65</v>
      </c>
      <c r="G62" s="370" t="s">
        <v>357</v>
      </c>
      <c r="H62" s="370" t="s">
        <v>18</v>
      </c>
      <c r="I62" s="369" t="s">
        <v>267</v>
      </c>
      <c r="J62" s="25">
        <f>((21620*6)+(21710*6))</f>
        <v>259980</v>
      </c>
      <c r="K62" s="371">
        <v>0</v>
      </c>
      <c r="L62" s="371">
        <v>0</v>
      </c>
      <c r="M62" s="394"/>
    </row>
    <row r="63" spans="1:13" x14ac:dyDescent="0.25">
      <c r="A63" s="376">
        <v>39</v>
      </c>
      <c r="B63" s="375" t="s">
        <v>146</v>
      </c>
      <c r="C63" s="375" t="s">
        <v>359</v>
      </c>
      <c r="D63" s="375" t="s">
        <v>147</v>
      </c>
      <c r="E63" s="375" t="s">
        <v>68</v>
      </c>
      <c r="F63" s="376">
        <v>4</v>
      </c>
      <c r="G63" s="375" t="s">
        <v>358</v>
      </c>
      <c r="H63" s="375" t="s">
        <v>68</v>
      </c>
      <c r="I63" s="376" t="s">
        <v>269</v>
      </c>
      <c r="J63" s="79">
        <f>((18950*6)+(19160*6))</f>
        <v>228660</v>
      </c>
      <c r="K63" s="395">
        <v>0</v>
      </c>
      <c r="L63" s="395">
        <v>0</v>
      </c>
      <c r="M63" s="396"/>
    </row>
    <row r="64" spans="1:13" x14ac:dyDescent="0.25">
      <c r="A64" s="382"/>
      <c r="B64" s="383"/>
      <c r="C64" s="383"/>
      <c r="D64" s="383"/>
      <c r="E64" s="383"/>
      <c r="F64" s="382"/>
      <c r="G64" s="383"/>
      <c r="H64" s="383"/>
      <c r="I64" s="382"/>
      <c r="J64" s="397"/>
      <c r="K64" s="397"/>
      <c r="L64" s="397"/>
      <c r="M64" s="398"/>
    </row>
    <row r="65" spans="1:13" ht="26.25" x14ac:dyDescent="0.25">
      <c r="A65" s="382"/>
      <c r="B65" s="383"/>
      <c r="C65" s="383"/>
      <c r="D65" s="383"/>
      <c r="E65" s="383"/>
      <c r="F65" s="382"/>
      <c r="G65" s="383"/>
      <c r="H65" s="383"/>
      <c r="I65" s="382"/>
      <c r="J65" s="397"/>
      <c r="K65" s="397"/>
      <c r="L65" s="397"/>
      <c r="M65" s="399">
        <v>28</v>
      </c>
    </row>
    <row r="66" spans="1:13" x14ac:dyDescent="0.25">
      <c r="A66" s="445"/>
      <c r="B66" s="445"/>
      <c r="C66" s="445"/>
      <c r="D66" s="445"/>
      <c r="E66" s="445"/>
      <c r="F66" s="445"/>
      <c r="G66" s="445"/>
      <c r="H66" s="445"/>
      <c r="I66" s="445"/>
      <c r="J66" s="445"/>
      <c r="K66" s="445"/>
      <c r="L66" s="445"/>
      <c r="M66" s="445"/>
    </row>
    <row r="67" spans="1:13" x14ac:dyDescent="0.25">
      <c r="A67" s="401"/>
      <c r="B67" s="402"/>
      <c r="C67" s="402"/>
      <c r="D67" s="402"/>
      <c r="E67" s="402"/>
      <c r="F67" s="402"/>
      <c r="G67" s="402"/>
      <c r="H67" s="402"/>
      <c r="I67" s="402"/>
      <c r="J67" s="402"/>
      <c r="K67" s="402"/>
      <c r="L67" s="402"/>
      <c r="M67" s="402"/>
    </row>
    <row r="68" spans="1:13" x14ac:dyDescent="0.25">
      <c r="A68" s="436" t="s">
        <v>5</v>
      </c>
      <c r="B68" s="436" t="s">
        <v>73</v>
      </c>
      <c r="C68" s="349" t="s">
        <v>74</v>
      </c>
      <c r="D68" s="439" t="s">
        <v>77</v>
      </c>
      <c r="E68" s="440"/>
      <c r="F68" s="440"/>
      <c r="G68" s="439" t="s">
        <v>78</v>
      </c>
      <c r="H68" s="440"/>
      <c r="I68" s="441"/>
      <c r="J68" s="442" t="s">
        <v>79</v>
      </c>
      <c r="K68" s="443"/>
      <c r="L68" s="444"/>
      <c r="M68" s="350"/>
    </row>
    <row r="69" spans="1:13" x14ac:dyDescent="0.25">
      <c r="A69" s="437"/>
      <c r="B69" s="437"/>
      <c r="C69" s="351" t="s">
        <v>75</v>
      </c>
      <c r="D69" s="436" t="s">
        <v>76</v>
      </c>
      <c r="E69" s="436" t="s">
        <v>9</v>
      </c>
      <c r="F69" s="436" t="s">
        <v>7</v>
      </c>
      <c r="G69" s="436" t="s">
        <v>76</v>
      </c>
      <c r="H69" s="436" t="s">
        <v>9</v>
      </c>
      <c r="I69" s="436" t="s">
        <v>7</v>
      </c>
      <c r="J69" s="436" t="s">
        <v>79</v>
      </c>
      <c r="K69" s="436" t="s">
        <v>80</v>
      </c>
      <c r="L69" s="349" t="s">
        <v>81</v>
      </c>
      <c r="M69" s="352" t="s">
        <v>59</v>
      </c>
    </row>
    <row r="70" spans="1:13" x14ac:dyDescent="0.25">
      <c r="A70" s="438"/>
      <c r="B70" s="438"/>
      <c r="C70" s="353"/>
      <c r="D70" s="438"/>
      <c r="E70" s="438"/>
      <c r="F70" s="438"/>
      <c r="G70" s="438"/>
      <c r="H70" s="438"/>
      <c r="I70" s="438"/>
      <c r="J70" s="438"/>
      <c r="K70" s="438"/>
      <c r="L70" s="354" t="s">
        <v>82</v>
      </c>
      <c r="M70" s="355"/>
    </row>
    <row r="71" spans="1:13" x14ac:dyDescent="0.25">
      <c r="A71" s="352"/>
      <c r="B71" s="367" t="s">
        <v>140</v>
      </c>
      <c r="C71" s="358"/>
      <c r="D71" s="352"/>
      <c r="E71" s="352"/>
      <c r="F71" s="352"/>
      <c r="G71" s="352"/>
      <c r="H71" s="352"/>
      <c r="I71" s="352"/>
      <c r="J71" s="352"/>
      <c r="K71" s="352"/>
      <c r="L71" s="351"/>
      <c r="M71" s="352"/>
    </row>
    <row r="72" spans="1:13" x14ac:dyDescent="0.25">
      <c r="A72" s="352"/>
      <c r="B72" s="367" t="s">
        <v>187</v>
      </c>
      <c r="C72" s="358"/>
      <c r="D72" s="352"/>
      <c r="E72" s="352"/>
      <c r="F72" s="352"/>
      <c r="G72" s="352"/>
      <c r="H72" s="352"/>
      <c r="I72" s="352"/>
      <c r="J72" s="352"/>
      <c r="K72" s="352"/>
      <c r="L72" s="351"/>
      <c r="M72" s="352"/>
    </row>
    <row r="73" spans="1:13" x14ac:dyDescent="0.25">
      <c r="A73" s="387">
        <v>40</v>
      </c>
      <c r="B73" s="377" t="s">
        <v>148</v>
      </c>
      <c r="C73" s="377" t="s">
        <v>360</v>
      </c>
      <c r="D73" s="377" t="s">
        <v>149</v>
      </c>
      <c r="E73" s="377" t="s">
        <v>150</v>
      </c>
      <c r="F73" s="387">
        <v>5</v>
      </c>
      <c r="G73" s="377" t="s">
        <v>361</v>
      </c>
      <c r="H73" s="377" t="s">
        <v>150</v>
      </c>
      <c r="I73" s="387" t="s">
        <v>277</v>
      </c>
      <c r="J73" s="25">
        <f>((17200*6)+(17310*6))</f>
        <v>207060</v>
      </c>
      <c r="K73" s="389">
        <v>0</v>
      </c>
      <c r="L73" s="389">
        <v>0</v>
      </c>
      <c r="M73" s="377"/>
    </row>
    <row r="74" spans="1:13" x14ac:dyDescent="0.25">
      <c r="A74" s="369">
        <v>41</v>
      </c>
      <c r="B74" s="380" t="s">
        <v>188</v>
      </c>
      <c r="C74" s="370"/>
      <c r="D74" s="370" t="s">
        <v>151</v>
      </c>
      <c r="E74" s="370" t="s">
        <v>20</v>
      </c>
      <c r="F74" s="374" t="s">
        <v>110</v>
      </c>
      <c r="G74" s="370" t="s">
        <v>363</v>
      </c>
      <c r="H74" s="370" t="s">
        <v>20</v>
      </c>
      <c r="I74" s="374" t="s">
        <v>270</v>
      </c>
      <c r="J74" s="416">
        <v>256440</v>
      </c>
      <c r="K74" s="371">
        <v>0</v>
      </c>
      <c r="L74" s="371">
        <v>0</v>
      </c>
      <c r="M74" s="369"/>
    </row>
    <row r="75" spans="1:13" x14ac:dyDescent="0.25">
      <c r="A75" s="387">
        <v>42</v>
      </c>
      <c r="B75" s="377" t="s">
        <v>152</v>
      </c>
      <c r="C75" s="377" t="s">
        <v>362</v>
      </c>
      <c r="D75" s="377" t="s">
        <v>153</v>
      </c>
      <c r="E75" s="377" t="s">
        <v>21</v>
      </c>
      <c r="F75" s="387">
        <v>5</v>
      </c>
      <c r="G75" s="377" t="s">
        <v>364</v>
      </c>
      <c r="H75" s="377" t="s">
        <v>21</v>
      </c>
      <c r="I75" s="387" t="s">
        <v>277</v>
      </c>
      <c r="J75" s="25">
        <f>((17890*6)+(18060*6))</f>
        <v>215700</v>
      </c>
      <c r="K75" s="389">
        <v>0</v>
      </c>
      <c r="L75" s="389">
        <v>0</v>
      </c>
      <c r="M75" s="387"/>
    </row>
    <row r="76" spans="1:13" x14ac:dyDescent="0.25">
      <c r="A76" s="369">
        <v>43</v>
      </c>
      <c r="B76" s="380" t="s">
        <v>188</v>
      </c>
      <c r="C76" s="370"/>
      <c r="D76" s="370" t="s">
        <v>154</v>
      </c>
      <c r="E76" s="370" t="s">
        <v>155</v>
      </c>
      <c r="F76" s="374" t="s">
        <v>111</v>
      </c>
      <c r="G76" s="377" t="s">
        <v>365</v>
      </c>
      <c r="H76" s="370" t="s">
        <v>150</v>
      </c>
      <c r="I76" s="374" t="s">
        <v>270</v>
      </c>
      <c r="J76" s="416">
        <v>238620</v>
      </c>
      <c r="K76" s="371">
        <v>0</v>
      </c>
      <c r="L76" s="371">
        <v>0</v>
      </c>
      <c r="M76" s="369"/>
    </row>
    <row r="77" spans="1:13" x14ac:dyDescent="0.25">
      <c r="A77" s="351"/>
      <c r="B77" s="367" t="s">
        <v>26</v>
      </c>
      <c r="C77" s="358"/>
      <c r="D77" s="358"/>
      <c r="E77" s="358"/>
      <c r="F77" s="358"/>
      <c r="G77" s="358"/>
      <c r="H77" s="358"/>
      <c r="I77" s="358"/>
      <c r="J77" s="359"/>
      <c r="K77" s="359"/>
      <c r="L77" s="359"/>
      <c r="M77" s="351"/>
    </row>
    <row r="78" spans="1:13" x14ac:dyDescent="0.25">
      <c r="A78" s="387">
        <v>44</v>
      </c>
      <c r="B78" s="377" t="s">
        <v>190</v>
      </c>
      <c r="C78" s="377" t="s">
        <v>368</v>
      </c>
      <c r="D78" s="387" t="s">
        <v>175</v>
      </c>
      <c r="E78" s="377" t="s">
        <v>27</v>
      </c>
      <c r="F78" s="387" t="s">
        <v>175</v>
      </c>
      <c r="G78" s="387" t="s">
        <v>191</v>
      </c>
      <c r="H78" s="377" t="s">
        <v>27</v>
      </c>
      <c r="I78" s="387" t="s">
        <v>175</v>
      </c>
      <c r="J78" s="25">
        <f>14310*12</f>
        <v>171720</v>
      </c>
      <c r="K78" s="389">
        <v>0</v>
      </c>
      <c r="L78" s="389">
        <v>0</v>
      </c>
      <c r="M78" s="387"/>
    </row>
    <row r="79" spans="1:13" x14ac:dyDescent="0.25">
      <c r="A79" s="351"/>
      <c r="B79" s="404" t="s">
        <v>41</v>
      </c>
      <c r="C79" s="358"/>
      <c r="D79" s="358"/>
      <c r="E79" s="358"/>
      <c r="F79" s="358"/>
      <c r="G79" s="358"/>
      <c r="H79" s="358"/>
      <c r="I79" s="358"/>
      <c r="J79" s="403"/>
      <c r="K79" s="359"/>
      <c r="L79" s="359"/>
      <c r="M79" s="351"/>
    </row>
    <row r="80" spans="1:13" x14ac:dyDescent="0.25">
      <c r="A80" s="387">
        <v>45</v>
      </c>
      <c r="B80" s="377" t="s">
        <v>156</v>
      </c>
      <c r="C80" s="377" t="s">
        <v>171</v>
      </c>
      <c r="D80" s="387" t="s">
        <v>175</v>
      </c>
      <c r="E80" s="377" t="s">
        <v>49</v>
      </c>
      <c r="F80" s="387" t="s">
        <v>175</v>
      </c>
      <c r="G80" s="387" t="s">
        <v>175</v>
      </c>
      <c r="H80" s="377" t="s">
        <v>49</v>
      </c>
      <c r="I80" s="387" t="s">
        <v>175</v>
      </c>
      <c r="J80" s="52">
        <f>10740*12</f>
        <v>128880</v>
      </c>
      <c r="K80" s="389">
        <v>0</v>
      </c>
      <c r="L80" s="389">
        <v>0</v>
      </c>
      <c r="M80" s="387"/>
    </row>
    <row r="81" spans="1:13" ht="15.75" thickBot="1" x14ac:dyDescent="0.3">
      <c r="A81" s="364">
        <v>46</v>
      </c>
      <c r="B81" s="365" t="s">
        <v>366</v>
      </c>
      <c r="C81" s="365" t="s">
        <v>171</v>
      </c>
      <c r="D81" s="364" t="s">
        <v>175</v>
      </c>
      <c r="E81" s="417" t="s">
        <v>192</v>
      </c>
      <c r="F81" s="364" t="s">
        <v>175</v>
      </c>
      <c r="G81" s="364" t="s">
        <v>175</v>
      </c>
      <c r="H81" s="365" t="s">
        <v>192</v>
      </c>
      <c r="I81" s="364" t="s">
        <v>175</v>
      </c>
      <c r="J81" s="418">
        <f>9400*12</f>
        <v>112800</v>
      </c>
      <c r="K81" s="366">
        <v>0</v>
      </c>
      <c r="L81" s="366">
        <v>0</v>
      </c>
      <c r="M81" s="364"/>
    </row>
    <row r="82" spans="1:13" x14ac:dyDescent="0.25">
      <c r="A82" s="351"/>
      <c r="B82" s="367" t="s">
        <v>367</v>
      </c>
      <c r="C82" s="358"/>
      <c r="D82" s="351"/>
      <c r="E82" s="351"/>
      <c r="F82" s="351"/>
      <c r="G82" s="351"/>
      <c r="H82" s="358"/>
      <c r="I82" s="351"/>
      <c r="J82" s="359"/>
      <c r="K82" s="359"/>
      <c r="L82" s="359"/>
      <c r="M82" s="351"/>
    </row>
    <row r="83" spans="1:13" x14ac:dyDescent="0.25">
      <c r="A83" s="351"/>
      <c r="B83" s="367" t="s">
        <v>187</v>
      </c>
      <c r="C83" s="358"/>
      <c r="D83" s="351"/>
      <c r="E83" s="351"/>
      <c r="F83" s="351"/>
      <c r="G83" s="351"/>
      <c r="H83" s="358"/>
      <c r="I83" s="351"/>
      <c r="J83" s="359"/>
      <c r="K83" s="359"/>
      <c r="L83" s="359"/>
      <c r="M83" s="351"/>
    </row>
    <row r="84" spans="1:13" x14ac:dyDescent="0.25">
      <c r="A84" s="387">
        <v>47</v>
      </c>
      <c r="B84" s="377" t="s">
        <v>157</v>
      </c>
      <c r="C84" s="377" t="s">
        <v>372</v>
      </c>
      <c r="D84" s="377" t="s">
        <v>158</v>
      </c>
      <c r="E84" s="377" t="s">
        <v>369</v>
      </c>
      <c r="F84" s="387">
        <v>7</v>
      </c>
      <c r="G84" s="377" t="s">
        <v>371</v>
      </c>
      <c r="H84" s="377" t="s">
        <v>311</v>
      </c>
      <c r="I84" s="387" t="s">
        <v>323</v>
      </c>
      <c r="J84" s="36">
        <f>((25470*6)+(25470*6))+((3500*3)+(3500*9))</f>
        <v>347640</v>
      </c>
      <c r="K84" s="389">
        <f>3500*12</f>
        <v>42000</v>
      </c>
      <c r="L84" s="389">
        <v>0</v>
      </c>
      <c r="M84" s="419">
        <f>SUM(J84:L84)</f>
        <v>389640</v>
      </c>
    </row>
    <row r="85" spans="1:13" x14ac:dyDescent="0.25">
      <c r="A85" s="369"/>
      <c r="B85" s="370"/>
      <c r="C85" s="370"/>
      <c r="D85" s="370"/>
      <c r="E85" s="370" t="s">
        <v>370</v>
      </c>
      <c r="F85" s="369"/>
      <c r="G85" s="370"/>
      <c r="H85" s="370" t="s">
        <v>370</v>
      </c>
      <c r="I85" s="369"/>
      <c r="J85" s="371"/>
      <c r="K85" s="371"/>
      <c r="L85" s="371"/>
      <c r="M85" s="370"/>
    </row>
    <row r="86" spans="1:13" x14ac:dyDescent="0.25">
      <c r="A86" s="369">
        <v>48</v>
      </c>
      <c r="B86" s="380" t="s">
        <v>188</v>
      </c>
      <c r="C86" s="370" t="s">
        <v>162</v>
      </c>
      <c r="D86" s="370" t="s">
        <v>163</v>
      </c>
      <c r="E86" s="370" t="s">
        <v>23</v>
      </c>
      <c r="F86" s="369">
        <v>3</v>
      </c>
      <c r="G86" s="370" t="s">
        <v>375</v>
      </c>
      <c r="H86" s="370" t="s">
        <v>23</v>
      </c>
      <c r="I86" s="369" t="s">
        <v>270</v>
      </c>
      <c r="J86" s="371">
        <v>256440</v>
      </c>
      <c r="K86" s="371">
        <v>0</v>
      </c>
      <c r="L86" s="371">
        <v>0</v>
      </c>
      <c r="M86" s="394"/>
    </row>
    <row r="87" spans="1:13" x14ac:dyDescent="0.25">
      <c r="A87" s="369">
        <v>49</v>
      </c>
      <c r="B87" s="378" t="s">
        <v>373</v>
      </c>
      <c r="C87" s="370" t="s">
        <v>374</v>
      </c>
      <c r="D87" s="370" t="s">
        <v>166</v>
      </c>
      <c r="E87" s="370" t="s">
        <v>23</v>
      </c>
      <c r="F87" s="374" t="s">
        <v>110</v>
      </c>
      <c r="G87" s="370" t="s">
        <v>376</v>
      </c>
      <c r="H87" s="370" t="s">
        <v>23</v>
      </c>
      <c r="I87" s="374" t="s">
        <v>277</v>
      </c>
      <c r="J87" s="25">
        <f>((17890*6)+(18060*6))</f>
        <v>215700</v>
      </c>
      <c r="K87" s="371">
        <v>0</v>
      </c>
      <c r="L87" s="371">
        <v>0</v>
      </c>
      <c r="M87" s="420"/>
    </row>
    <row r="88" spans="1:13" x14ac:dyDescent="0.25">
      <c r="A88" s="369">
        <v>50</v>
      </c>
      <c r="B88" s="380" t="s">
        <v>188</v>
      </c>
      <c r="C88" s="370"/>
      <c r="D88" s="370" t="s">
        <v>167</v>
      </c>
      <c r="E88" s="370" t="s">
        <v>24</v>
      </c>
      <c r="F88" s="374" t="s">
        <v>110</v>
      </c>
      <c r="G88" s="370" t="s">
        <v>380</v>
      </c>
      <c r="H88" s="370" t="s">
        <v>24</v>
      </c>
      <c r="I88" s="374" t="s">
        <v>270</v>
      </c>
      <c r="J88" s="372">
        <f>(4870+19100)*12/2</f>
        <v>143820</v>
      </c>
      <c r="K88" s="371">
        <v>0</v>
      </c>
      <c r="L88" s="371">
        <v>0</v>
      </c>
      <c r="M88" s="369"/>
    </row>
    <row r="89" spans="1:13" x14ac:dyDescent="0.25">
      <c r="A89" s="369">
        <v>51</v>
      </c>
      <c r="B89" s="378" t="s">
        <v>377</v>
      </c>
      <c r="C89" s="370" t="s">
        <v>378</v>
      </c>
      <c r="D89" s="370" t="s">
        <v>168</v>
      </c>
      <c r="E89" s="370" t="s">
        <v>25</v>
      </c>
      <c r="F89" s="374" t="s">
        <v>110</v>
      </c>
      <c r="G89" s="370" t="s">
        <v>379</v>
      </c>
      <c r="H89" s="370" t="s">
        <v>25</v>
      </c>
      <c r="I89" s="374" t="s">
        <v>272</v>
      </c>
      <c r="J89" s="25">
        <f>((13550*6)+(13760*6))</f>
        <v>163860</v>
      </c>
      <c r="K89" s="371">
        <v>0</v>
      </c>
      <c r="L89" s="371">
        <v>0</v>
      </c>
      <c r="M89" s="369"/>
    </row>
    <row r="90" spans="1:13" x14ac:dyDescent="0.25">
      <c r="A90" s="369">
        <v>52</v>
      </c>
      <c r="B90" s="370" t="s">
        <v>164</v>
      </c>
      <c r="C90" s="370" t="s">
        <v>171</v>
      </c>
      <c r="D90" s="370" t="s">
        <v>165</v>
      </c>
      <c r="E90" s="370" t="s">
        <v>13</v>
      </c>
      <c r="F90" s="369">
        <v>3</v>
      </c>
      <c r="G90" s="370" t="s">
        <v>381</v>
      </c>
      <c r="H90" s="370" t="s">
        <v>274</v>
      </c>
      <c r="I90" s="369" t="s">
        <v>272</v>
      </c>
      <c r="J90" s="25">
        <f>((13820*6)+(14030*6))</f>
        <v>167100</v>
      </c>
      <c r="K90" s="371">
        <v>0</v>
      </c>
      <c r="L90" s="371">
        <v>0</v>
      </c>
      <c r="M90" s="370"/>
    </row>
    <row r="91" spans="1:13" x14ac:dyDescent="0.25">
      <c r="A91" s="369"/>
      <c r="B91" s="421" t="s">
        <v>41</v>
      </c>
      <c r="C91" s="370"/>
      <c r="D91" s="370"/>
      <c r="E91" s="370"/>
      <c r="F91" s="369"/>
      <c r="G91" s="370"/>
      <c r="H91" s="370"/>
      <c r="I91" s="369"/>
      <c r="J91" s="371"/>
      <c r="K91" s="371"/>
      <c r="L91" s="371"/>
      <c r="M91" s="370"/>
    </row>
    <row r="92" spans="1:13" x14ac:dyDescent="0.25">
      <c r="A92" s="369">
        <v>53</v>
      </c>
      <c r="B92" s="370" t="s">
        <v>170</v>
      </c>
      <c r="C92" s="370" t="s">
        <v>171</v>
      </c>
      <c r="D92" s="369" t="s">
        <v>175</v>
      </c>
      <c r="E92" s="370" t="s">
        <v>40</v>
      </c>
      <c r="F92" s="369" t="s">
        <v>175</v>
      </c>
      <c r="G92" s="369" t="s">
        <v>175</v>
      </c>
      <c r="H92" s="370" t="s">
        <v>40</v>
      </c>
      <c r="I92" s="369" t="s">
        <v>175</v>
      </c>
      <c r="J92" s="56">
        <f>12630*12</f>
        <v>151560</v>
      </c>
      <c r="K92" s="371">
        <v>0</v>
      </c>
      <c r="L92" s="371">
        <v>0</v>
      </c>
      <c r="M92" s="370"/>
    </row>
    <row r="93" spans="1:13" x14ac:dyDescent="0.25">
      <c r="A93" s="369">
        <v>54</v>
      </c>
      <c r="B93" s="370" t="s">
        <v>169</v>
      </c>
      <c r="C93" s="370" t="s">
        <v>171</v>
      </c>
      <c r="D93" s="369" t="s">
        <v>175</v>
      </c>
      <c r="E93" s="370" t="s">
        <v>39</v>
      </c>
      <c r="F93" s="369" t="s">
        <v>175</v>
      </c>
      <c r="G93" s="369" t="s">
        <v>175</v>
      </c>
      <c r="H93" s="370" t="s">
        <v>39</v>
      </c>
      <c r="I93" s="369" t="s">
        <v>175</v>
      </c>
      <c r="J93" s="56">
        <f>10700*12</f>
        <v>128400</v>
      </c>
      <c r="K93" s="371">
        <v>0</v>
      </c>
      <c r="L93" s="371">
        <v>0</v>
      </c>
      <c r="M93" s="370"/>
    </row>
    <row r="94" spans="1:13" x14ac:dyDescent="0.25">
      <c r="A94" s="354">
        <v>55</v>
      </c>
      <c r="B94" s="424" t="s">
        <v>188</v>
      </c>
      <c r="C94" s="353"/>
      <c r="D94" s="354" t="s">
        <v>175</v>
      </c>
      <c r="E94" s="422" t="s">
        <v>172</v>
      </c>
      <c r="F94" s="354" t="s">
        <v>175</v>
      </c>
      <c r="G94" s="354" t="s">
        <v>175</v>
      </c>
      <c r="H94" s="353" t="s">
        <v>280</v>
      </c>
      <c r="I94" s="405">
        <v>0</v>
      </c>
      <c r="J94" s="406">
        <f>11500*12</f>
        <v>138000</v>
      </c>
      <c r="K94" s="406">
        <v>0</v>
      </c>
      <c r="L94" s="406">
        <v>0</v>
      </c>
      <c r="M94" s="354"/>
    </row>
    <row r="95" spans="1:13" x14ac:dyDescent="0.25">
      <c r="A95" s="382"/>
      <c r="B95" s="407"/>
      <c r="C95" s="383"/>
      <c r="D95" s="382"/>
      <c r="E95" s="382"/>
      <c r="F95" s="382"/>
      <c r="G95" s="382"/>
      <c r="H95" s="383"/>
      <c r="I95" s="408"/>
      <c r="J95" s="397"/>
      <c r="K95" s="397"/>
      <c r="L95" s="397"/>
      <c r="M95" s="382"/>
    </row>
    <row r="96" spans="1:13" ht="20.25" x14ac:dyDescent="0.25">
      <c r="A96" s="382"/>
      <c r="B96" s="407"/>
      <c r="C96" s="383"/>
      <c r="D96" s="382"/>
      <c r="E96" s="382"/>
      <c r="F96" s="382"/>
      <c r="G96" s="382"/>
      <c r="H96" s="383"/>
      <c r="I96" s="408"/>
      <c r="J96" s="397"/>
      <c r="K96" s="397"/>
      <c r="L96" s="397"/>
      <c r="M96" s="409">
        <v>29</v>
      </c>
    </row>
    <row r="97" spans="1:13" x14ac:dyDescent="0.25">
      <c r="A97" s="382"/>
      <c r="B97" s="407"/>
      <c r="C97" s="383"/>
      <c r="D97" s="382"/>
      <c r="E97" s="382"/>
      <c r="F97" s="382"/>
      <c r="G97" s="382"/>
      <c r="H97" s="383"/>
      <c r="I97" s="408"/>
      <c r="J97" s="397"/>
      <c r="K97" s="397"/>
      <c r="L97" s="397"/>
      <c r="M97" s="382"/>
    </row>
    <row r="98" spans="1:13" x14ac:dyDescent="0.25">
      <c r="A98" s="382"/>
      <c r="B98" s="407"/>
      <c r="C98" s="383"/>
      <c r="D98" s="382"/>
      <c r="E98" s="382"/>
      <c r="F98" s="382"/>
      <c r="G98" s="382"/>
      <c r="H98" s="383"/>
      <c r="I98" s="408"/>
      <c r="J98" s="397"/>
      <c r="K98" s="397"/>
      <c r="L98" s="397"/>
      <c r="M98" s="382"/>
    </row>
    <row r="99" spans="1:13" x14ac:dyDescent="0.25">
      <c r="A99" s="445"/>
      <c r="B99" s="445"/>
      <c r="C99" s="445"/>
      <c r="D99" s="445"/>
      <c r="E99" s="445"/>
      <c r="F99" s="445"/>
      <c r="G99" s="445"/>
      <c r="H99" s="445"/>
      <c r="I99" s="445"/>
      <c r="J99" s="445"/>
      <c r="K99" s="445"/>
      <c r="L99" s="445"/>
      <c r="M99" s="445"/>
    </row>
    <row r="100" spans="1:13" x14ac:dyDescent="0.25">
      <c r="A100" s="401"/>
      <c r="B100" s="402"/>
      <c r="C100" s="402"/>
      <c r="D100" s="402"/>
      <c r="E100" s="402"/>
      <c r="F100" s="402"/>
      <c r="G100" s="402"/>
      <c r="H100" s="402"/>
      <c r="I100" s="402"/>
      <c r="J100" s="402"/>
      <c r="K100" s="402"/>
      <c r="L100" s="402"/>
      <c r="M100" s="402"/>
    </row>
    <row r="101" spans="1:13" x14ac:dyDescent="0.25">
      <c r="A101" s="436" t="s">
        <v>5</v>
      </c>
      <c r="B101" s="436" t="s">
        <v>73</v>
      </c>
      <c r="C101" s="349" t="s">
        <v>74</v>
      </c>
      <c r="D101" s="439" t="s">
        <v>77</v>
      </c>
      <c r="E101" s="440"/>
      <c r="F101" s="440"/>
      <c r="G101" s="439" t="s">
        <v>78</v>
      </c>
      <c r="H101" s="440"/>
      <c r="I101" s="441"/>
      <c r="J101" s="442" t="s">
        <v>79</v>
      </c>
      <c r="K101" s="443"/>
      <c r="L101" s="444"/>
      <c r="M101" s="350"/>
    </row>
    <row r="102" spans="1:13" x14ac:dyDescent="0.25">
      <c r="A102" s="437"/>
      <c r="B102" s="437"/>
      <c r="C102" s="351" t="s">
        <v>75</v>
      </c>
      <c r="D102" s="436" t="s">
        <v>76</v>
      </c>
      <c r="E102" s="436" t="s">
        <v>9</v>
      </c>
      <c r="F102" s="436" t="s">
        <v>7</v>
      </c>
      <c r="G102" s="436" t="s">
        <v>76</v>
      </c>
      <c r="H102" s="436" t="s">
        <v>9</v>
      </c>
      <c r="I102" s="436" t="s">
        <v>7</v>
      </c>
      <c r="J102" s="436" t="s">
        <v>79</v>
      </c>
      <c r="K102" s="436" t="s">
        <v>80</v>
      </c>
      <c r="L102" s="349" t="s">
        <v>81</v>
      </c>
      <c r="M102" s="352" t="s">
        <v>59</v>
      </c>
    </row>
    <row r="103" spans="1:13" x14ac:dyDescent="0.25">
      <c r="A103" s="438"/>
      <c r="B103" s="438"/>
      <c r="C103" s="353"/>
      <c r="D103" s="438"/>
      <c r="E103" s="438"/>
      <c r="F103" s="438"/>
      <c r="G103" s="438"/>
      <c r="H103" s="438"/>
      <c r="I103" s="438"/>
      <c r="J103" s="438"/>
      <c r="K103" s="438"/>
      <c r="L103" s="354" t="s">
        <v>82</v>
      </c>
      <c r="M103" s="355"/>
    </row>
    <row r="104" spans="1:13" x14ac:dyDescent="0.25">
      <c r="A104" s="351"/>
      <c r="B104" s="404" t="s">
        <v>38</v>
      </c>
      <c r="C104" s="358"/>
      <c r="D104" s="358"/>
      <c r="E104" s="358"/>
      <c r="F104" s="358"/>
      <c r="G104" s="358"/>
      <c r="H104" s="358"/>
      <c r="I104" s="351"/>
      <c r="J104" s="410">
        <v>0</v>
      </c>
      <c r="K104" s="410">
        <v>0</v>
      </c>
      <c r="L104" s="410">
        <v>0</v>
      </c>
      <c r="M104" s="351"/>
    </row>
    <row r="105" spans="1:13" x14ac:dyDescent="0.25">
      <c r="A105" s="387">
        <v>56</v>
      </c>
      <c r="B105" s="377" t="s">
        <v>173</v>
      </c>
      <c r="C105" s="387" t="s">
        <v>175</v>
      </c>
      <c r="D105" s="387" t="s">
        <v>175</v>
      </c>
      <c r="E105" s="377" t="s">
        <v>37</v>
      </c>
      <c r="F105" s="387" t="s">
        <v>175</v>
      </c>
      <c r="G105" s="387" t="s">
        <v>175</v>
      </c>
      <c r="H105" s="377" t="s">
        <v>37</v>
      </c>
      <c r="I105" s="387" t="s">
        <v>175</v>
      </c>
      <c r="J105" s="56">
        <f>10600*12</f>
        <v>127200</v>
      </c>
      <c r="K105" s="411">
        <v>0</v>
      </c>
      <c r="L105" s="411">
        <v>0</v>
      </c>
      <c r="M105" s="387"/>
    </row>
    <row r="106" spans="1:13" x14ac:dyDescent="0.25">
      <c r="A106" s="369">
        <v>57</v>
      </c>
      <c r="B106" s="370" t="s">
        <v>382</v>
      </c>
      <c r="C106" s="369" t="s">
        <v>175</v>
      </c>
      <c r="D106" s="369" t="s">
        <v>175</v>
      </c>
      <c r="E106" s="370" t="s">
        <v>37</v>
      </c>
      <c r="F106" s="369" t="s">
        <v>175</v>
      </c>
      <c r="G106" s="369" t="s">
        <v>175</v>
      </c>
      <c r="H106" s="370" t="s">
        <v>37</v>
      </c>
      <c r="I106" s="369" t="s">
        <v>175</v>
      </c>
      <c r="J106" s="56">
        <f>9400*12</f>
        <v>112800</v>
      </c>
      <c r="K106" s="412">
        <v>0</v>
      </c>
      <c r="L106" s="412">
        <v>0</v>
      </c>
      <c r="M106" s="369"/>
    </row>
    <row r="107" spans="1:13" x14ac:dyDescent="0.25">
      <c r="A107" s="351"/>
      <c r="B107" s="404" t="s">
        <v>36</v>
      </c>
      <c r="C107" s="351"/>
      <c r="D107" s="351"/>
      <c r="E107" s="351"/>
      <c r="F107" s="351"/>
      <c r="G107" s="351"/>
      <c r="H107" s="358"/>
      <c r="I107" s="351"/>
      <c r="J107" s="359"/>
      <c r="K107" s="410"/>
      <c r="L107" s="410"/>
      <c r="M107" s="351"/>
    </row>
    <row r="108" spans="1:13" x14ac:dyDescent="0.25">
      <c r="A108" s="369">
        <v>58</v>
      </c>
      <c r="B108" s="370" t="s">
        <v>176</v>
      </c>
      <c r="C108" s="369" t="s">
        <v>195</v>
      </c>
      <c r="D108" s="369" t="s">
        <v>175</v>
      </c>
      <c r="E108" s="369" t="s">
        <v>175</v>
      </c>
      <c r="F108" s="369" t="s">
        <v>175</v>
      </c>
      <c r="G108" s="369" t="s">
        <v>175</v>
      </c>
      <c r="H108" s="370" t="s">
        <v>177</v>
      </c>
      <c r="I108" s="369" t="s">
        <v>175</v>
      </c>
      <c r="J108" s="371">
        <f>9000*12</f>
        <v>108000</v>
      </c>
      <c r="K108" s="412">
        <v>0</v>
      </c>
      <c r="L108" s="412">
        <v>0</v>
      </c>
      <c r="M108" s="369"/>
    </row>
    <row r="109" spans="1:13" x14ac:dyDescent="0.25">
      <c r="A109" s="369">
        <v>59</v>
      </c>
      <c r="B109" s="370" t="s">
        <v>178</v>
      </c>
      <c r="C109" s="369" t="s">
        <v>195</v>
      </c>
      <c r="D109" s="369" t="s">
        <v>175</v>
      </c>
      <c r="E109" s="369" t="s">
        <v>175</v>
      </c>
      <c r="F109" s="369" t="s">
        <v>175</v>
      </c>
      <c r="G109" s="369" t="s">
        <v>175</v>
      </c>
      <c r="H109" s="370" t="s">
        <v>177</v>
      </c>
      <c r="I109" s="369" t="s">
        <v>175</v>
      </c>
      <c r="J109" s="371">
        <f>9000*12</f>
        <v>108000</v>
      </c>
      <c r="K109" s="412">
        <v>0</v>
      </c>
      <c r="L109" s="412">
        <v>0</v>
      </c>
      <c r="M109" s="369"/>
    </row>
    <row r="110" spans="1:13" x14ac:dyDescent="0.25">
      <c r="A110" s="369">
        <v>60</v>
      </c>
      <c r="B110" s="380" t="s">
        <v>188</v>
      </c>
      <c r="C110" s="369" t="s">
        <v>175</v>
      </c>
      <c r="D110" s="369" t="s">
        <v>175</v>
      </c>
      <c r="E110" s="369" t="s">
        <v>175</v>
      </c>
      <c r="F110" s="369" t="s">
        <v>175</v>
      </c>
      <c r="G110" s="369" t="s">
        <v>175</v>
      </c>
      <c r="H110" s="370" t="s">
        <v>177</v>
      </c>
      <c r="I110" s="369" t="s">
        <v>11</v>
      </c>
      <c r="J110" s="371">
        <f t="shared" ref="J110:J111" si="0">9000*12</f>
        <v>108000</v>
      </c>
      <c r="K110" s="412">
        <v>0</v>
      </c>
      <c r="L110" s="412">
        <v>0</v>
      </c>
      <c r="M110" s="369"/>
    </row>
    <row r="111" spans="1:13" x14ac:dyDescent="0.25">
      <c r="A111" s="376">
        <v>61</v>
      </c>
      <c r="B111" s="423" t="s">
        <v>188</v>
      </c>
      <c r="C111" s="376" t="s">
        <v>175</v>
      </c>
      <c r="D111" s="376" t="s">
        <v>175</v>
      </c>
      <c r="E111" s="376" t="s">
        <v>175</v>
      </c>
      <c r="F111" s="376" t="s">
        <v>175</v>
      </c>
      <c r="G111" s="376" t="s">
        <v>175</v>
      </c>
      <c r="H111" s="375" t="s">
        <v>37</v>
      </c>
      <c r="I111" s="376" t="s">
        <v>175</v>
      </c>
      <c r="J111" s="395">
        <f t="shared" si="0"/>
        <v>108000</v>
      </c>
      <c r="K111" s="413">
        <v>0</v>
      </c>
      <c r="L111" s="413">
        <v>0</v>
      </c>
      <c r="M111" s="376"/>
    </row>
    <row r="130" spans="13:13" ht="20.25" x14ac:dyDescent="0.25">
      <c r="M130" s="238">
        <v>30</v>
      </c>
    </row>
  </sheetData>
  <mergeCells count="54">
    <mergeCell ref="A68:A70"/>
    <mergeCell ref="B68:B70"/>
    <mergeCell ref="D68:F68"/>
    <mergeCell ref="G68:I68"/>
    <mergeCell ref="J68:L68"/>
    <mergeCell ref="D69:D70"/>
    <mergeCell ref="E69:E70"/>
    <mergeCell ref="F69:F70"/>
    <mergeCell ref="G69:G70"/>
    <mergeCell ref="H69:H70"/>
    <mergeCell ref="I69:I70"/>
    <mergeCell ref="J69:J70"/>
    <mergeCell ref="J36:L36"/>
    <mergeCell ref="D37:D38"/>
    <mergeCell ref="D4:F4"/>
    <mergeCell ref="G4:I4"/>
    <mergeCell ref="J4:L4"/>
    <mergeCell ref="K5:K6"/>
    <mergeCell ref="J5:J6"/>
    <mergeCell ref="I5:I6"/>
    <mergeCell ref="H5:H6"/>
    <mergeCell ref="G5:G6"/>
    <mergeCell ref="K37:K38"/>
    <mergeCell ref="H37:H38"/>
    <mergeCell ref="I37:I38"/>
    <mergeCell ref="J37:J38"/>
    <mergeCell ref="A4:A6"/>
    <mergeCell ref="A36:A38"/>
    <mergeCell ref="E37:E38"/>
    <mergeCell ref="F37:F38"/>
    <mergeCell ref="G37:G38"/>
    <mergeCell ref="F5:F6"/>
    <mergeCell ref="E5:E6"/>
    <mergeCell ref="D5:D6"/>
    <mergeCell ref="B4:B6"/>
    <mergeCell ref="B36:B38"/>
    <mergeCell ref="D36:F36"/>
    <mergeCell ref="G36:I36"/>
    <mergeCell ref="A66:M66"/>
    <mergeCell ref="A99:M99"/>
    <mergeCell ref="A101:A103"/>
    <mergeCell ref="B101:B103"/>
    <mergeCell ref="D101:F101"/>
    <mergeCell ref="G101:I101"/>
    <mergeCell ref="J101:L101"/>
    <mergeCell ref="D102:D103"/>
    <mergeCell ref="E102:E103"/>
    <mergeCell ref="F102:F103"/>
    <mergeCell ref="G102:G103"/>
    <mergeCell ref="H102:H103"/>
    <mergeCell ref="I102:I103"/>
    <mergeCell ref="J102:J103"/>
    <mergeCell ref="K102:K103"/>
    <mergeCell ref="K69:K70"/>
  </mergeCells>
  <pageMargins left="0.39370078740157483" right="0.11811023622047245" top="0.74803149606299213" bottom="0.55118110236220474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105"/>
  <sheetViews>
    <sheetView tabSelected="1" topLeftCell="A51" zoomScaleNormal="100" workbookViewId="0">
      <selection activeCell="A51" sqref="A51"/>
    </sheetView>
  </sheetViews>
  <sheetFormatPr defaultRowHeight="15" x14ac:dyDescent="0.25"/>
  <cols>
    <col min="1" max="1" width="3.75" style="1" customWidth="1"/>
    <col min="2" max="2" width="29.875" style="1" customWidth="1"/>
    <col min="3" max="3" width="7" style="339" customWidth="1"/>
    <col min="4" max="9" width="5.875" style="1" customWidth="1"/>
    <col min="10" max="10" width="10.375" style="196" customWidth="1"/>
  </cols>
  <sheetData>
    <row r="1" spans="1:12" ht="20.25" x14ac:dyDescent="0.3">
      <c r="A1" s="158"/>
      <c r="B1" s="158"/>
      <c r="C1" s="323"/>
      <c r="D1" s="158"/>
      <c r="E1" s="158"/>
      <c r="F1" s="158"/>
      <c r="G1" s="158"/>
      <c r="H1" s="158"/>
      <c r="I1" s="158"/>
      <c r="J1" s="194">
        <v>17</v>
      </c>
      <c r="K1" s="159"/>
      <c r="L1" s="159"/>
    </row>
    <row r="2" spans="1:12" ht="20.25" x14ac:dyDescent="0.3">
      <c r="A2" s="158" t="s">
        <v>200</v>
      </c>
      <c r="B2" s="158"/>
      <c r="C2" s="323"/>
      <c r="D2" s="158"/>
      <c r="E2" s="158"/>
      <c r="F2" s="158"/>
      <c r="G2" s="158"/>
      <c r="H2" s="158"/>
      <c r="I2" s="158"/>
      <c r="J2" s="194"/>
      <c r="K2" s="159"/>
      <c r="L2" s="159"/>
    </row>
    <row r="3" spans="1:12" ht="20.25" x14ac:dyDescent="0.3">
      <c r="A3" s="158"/>
      <c r="B3" s="160" t="s">
        <v>253</v>
      </c>
      <c r="C3" s="324"/>
      <c r="D3" s="160"/>
      <c r="E3" s="160"/>
      <c r="F3" s="160"/>
      <c r="G3" s="160"/>
      <c r="H3" s="160"/>
      <c r="I3" s="158"/>
      <c r="J3" s="194"/>
      <c r="K3" s="159"/>
      <c r="L3" s="159"/>
    </row>
    <row r="4" spans="1:12" ht="20.25" x14ac:dyDescent="0.3">
      <c r="A4" s="158"/>
      <c r="B4" s="160" t="s">
        <v>202</v>
      </c>
      <c r="C4" s="324"/>
      <c r="D4" s="160"/>
      <c r="E4" s="160"/>
      <c r="F4" s="160"/>
      <c r="G4" s="160"/>
      <c r="H4" s="160"/>
      <c r="I4" s="158"/>
      <c r="J4" s="194"/>
      <c r="K4" s="159"/>
      <c r="L4" s="159"/>
    </row>
    <row r="5" spans="1:12" ht="20.25" x14ac:dyDescent="0.3">
      <c r="A5" s="158"/>
      <c r="B5" s="160" t="s">
        <v>203</v>
      </c>
      <c r="C5" s="324"/>
      <c r="D5" s="160"/>
      <c r="E5" s="160"/>
      <c r="F5" s="160"/>
      <c r="G5" s="160"/>
      <c r="H5" s="160"/>
      <c r="I5" s="158"/>
      <c r="J5" s="194"/>
      <c r="K5" s="159"/>
      <c r="L5" s="159"/>
    </row>
    <row r="6" spans="1:12" ht="20.25" x14ac:dyDescent="0.3">
      <c r="A6" s="158"/>
      <c r="B6" s="160" t="s">
        <v>204</v>
      </c>
      <c r="C6" s="324"/>
      <c r="D6" s="160"/>
      <c r="E6" s="160"/>
      <c r="F6" s="160"/>
      <c r="G6" s="160"/>
      <c r="H6" s="160"/>
      <c r="I6" s="158"/>
      <c r="J6" s="194"/>
      <c r="K6" s="159"/>
      <c r="L6" s="159"/>
    </row>
    <row r="7" spans="1:12" ht="20.25" x14ac:dyDescent="0.3">
      <c r="A7" s="158" t="s">
        <v>0</v>
      </c>
      <c r="B7" s="160" t="s">
        <v>205</v>
      </c>
      <c r="C7" s="324"/>
      <c r="D7" s="160"/>
      <c r="E7" s="160"/>
      <c r="F7" s="160"/>
      <c r="G7" s="160"/>
      <c r="H7" s="160"/>
      <c r="I7" s="158"/>
      <c r="J7" s="194"/>
      <c r="K7" s="159"/>
      <c r="L7" s="159"/>
    </row>
    <row r="8" spans="1:12" ht="6.75" customHeight="1" x14ac:dyDescent="0.3">
      <c r="A8" s="158"/>
      <c r="B8" s="158"/>
      <c r="C8" s="323"/>
      <c r="D8" s="158"/>
      <c r="E8" s="158"/>
      <c r="F8" s="158"/>
      <c r="G8" s="158"/>
      <c r="H8" s="158"/>
      <c r="I8" s="158"/>
      <c r="J8" s="194"/>
      <c r="K8" s="159"/>
      <c r="L8" s="159"/>
    </row>
    <row r="9" spans="1:12" s="162" customFormat="1" ht="18.75" x14ac:dyDescent="0.3">
      <c r="A9" s="449" t="s">
        <v>5</v>
      </c>
      <c r="B9" s="449" t="s">
        <v>6</v>
      </c>
      <c r="C9" s="325" t="s">
        <v>218</v>
      </c>
      <c r="D9" s="452" t="s">
        <v>61</v>
      </c>
      <c r="E9" s="453"/>
      <c r="F9" s="454"/>
      <c r="G9" s="455" t="s">
        <v>57</v>
      </c>
      <c r="H9" s="456"/>
      <c r="I9" s="457"/>
      <c r="J9" s="458" t="s">
        <v>201</v>
      </c>
    </row>
    <row r="10" spans="1:12" s="162" customFormat="1" ht="18.75" x14ac:dyDescent="0.3">
      <c r="A10" s="450"/>
      <c r="B10" s="450"/>
      <c r="C10" s="326" t="s">
        <v>283</v>
      </c>
      <c r="D10" s="461" t="s">
        <v>62</v>
      </c>
      <c r="E10" s="462"/>
      <c r="F10" s="463"/>
      <c r="G10" s="461" t="s">
        <v>58</v>
      </c>
      <c r="H10" s="462"/>
      <c r="I10" s="463"/>
      <c r="J10" s="459"/>
    </row>
    <row r="11" spans="1:12" s="162" customFormat="1" ht="18.75" x14ac:dyDescent="0.3">
      <c r="A11" s="450"/>
      <c r="B11" s="450"/>
      <c r="C11" s="327" t="s">
        <v>284</v>
      </c>
      <c r="D11" s="161">
        <v>2558</v>
      </c>
      <c r="E11" s="161">
        <v>2559</v>
      </c>
      <c r="F11" s="161">
        <v>2560</v>
      </c>
      <c r="G11" s="161">
        <v>2558</v>
      </c>
      <c r="H11" s="161">
        <v>2559</v>
      </c>
      <c r="I11" s="161">
        <v>2560</v>
      </c>
      <c r="J11" s="460"/>
    </row>
    <row r="12" spans="1:12" s="162" customFormat="1" ht="18.75" x14ac:dyDescent="0.3">
      <c r="A12" s="161">
        <v>1</v>
      </c>
      <c r="B12" s="165" t="s">
        <v>285</v>
      </c>
      <c r="C12" s="328">
        <v>1</v>
      </c>
      <c r="D12" s="166">
        <v>1</v>
      </c>
      <c r="E12" s="166">
        <v>1</v>
      </c>
      <c r="F12" s="166">
        <v>1</v>
      </c>
      <c r="G12" s="344">
        <v>0</v>
      </c>
      <c r="H12" s="344">
        <v>0</v>
      </c>
      <c r="I12" s="344">
        <v>0</v>
      </c>
      <c r="J12" s="213"/>
    </row>
    <row r="13" spans="1:12" s="162" customFormat="1" ht="18.75" x14ac:dyDescent="0.3">
      <c r="A13" s="168"/>
      <c r="B13" s="169" t="s">
        <v>286</v>
      </c>
      <c r="C13" s="329"/>
      <c r="D13" s="170"/>
      <c r="E13" s="170"/>
      <c r="F13" s="170"/>
      <c r="G13" s="319"/>
      <c r="H13" s="319"/>
      <c r="I13" s="319"/>
      <c r="J13" s="213"/>
    </row>
    <row r="14" spans="1:12" s="162" customFormat="1" ht="18.75" x14ac:dyDescent="0.3">
      <c r="A14" s="190">
        <v>2</v>
      </c>
      <c r="B14" s="187" t="s">
        <v>287</v>
      </c>
      <c r="C14" s="200">
        <v>1</v>
      </c>
      <c r="D14" s="188">
        <v>1</v>
      </c>
      <c r="E14" s="188">
        <v>1</v>
      </c>
      <c r="F14" s="188">
        <v>1</v>
      </c>
      <c r="G14" s="322">
        <v>0</v>
      </c>
      <c r="H14" s="322">
        <v>0</v>
      </c>
      <c r="I14" s="322">
        <v>0</v>
      </c>
      <c r="J14" s="218"/>
    </row>
    <row r="15" spans="1:12" s="162" customFormat="1" ht="18.75" x14ac:dyDescent="0.3">
      <c r="A15" s="164"/>
      <c r="B15" s="341" t="s">
        <v>288</v>
      </c>
      <c r="C15" s="331"/>
      <c r="D15" s="342"/>
      <c r="E15" s="342"/>
      <c r="F15" s="342"/>
      <c r="G15" s="320"/>
      <c r="H15" s="320"/>
      <c r="I15" s="320"/>
      <c r="J15" s="343"/>
    </row>
    <row r="16" spans="1:12" s="162" customFormat="1" ht="18.75" x14ac:dyDescent="0.3">
      <c r="A16" s="168"/>
      <c r="B16" s="222" t="s">
        <v>69</v>
      </c>
      <c r="C16" s="329"/>
      <c r="D16" s="170"/>
      <c r="E16" s="170"/>
      <c r="F16" s="170"/>
      <c r="G16" s="170"/>
      <c r="H16" s="170"/>
      <c r="I16" s="170"/>
      <c r="J16" s="213"/>
    </row>
    <row r="17" spans="1:10" s="162" customFormat="1" ht="18.75" x14ac:dyDescent="0.3">
      <c r="A17" s="168">
        <v>3</v>
      </c>
      <c r="B17" s="169" t="s">
        <v>290</v>
      </c>
      <c r="C17" s="201">
        <v>1</v>
      </c>
      <c r="D17" s="170">
        <v>1</v>
      </c>
      <c r="E17" s="170">
        <v>1</v>
      </c>
      <c r="F17" s="170">
        <v>1</v>
      </c>
      <c r="G17" s="322">
        <v>0</v>
      </c>
      <c r="H17" s="322">
        <v>0</v>
      </c>
      <c r="I17" s="322">
        <v>0</v>
      </c>
      <c r="J17" s="213"/>
    </row>
    <row r="18" spans="1:10" s="162" customFormat="1" ht="18.75" x14ac:dyDescent="0.3">
      <c r="A18" s="179"/>
      <c r="B18" s="205" t="s">
        <v>289</v>
      </c>
      <c r="C18" s="318"/>
      <c r="D18" s="176"/>
      <c r="E18" s="176"/>
      <c r="F18" s="176"/>
      <c r="G18" s="319"/>
      <c r="H18" s="319"/>
      <c r="I18" s="319"/>
      <c r="J18" s="216"/>
    </row>
    <row r="19" spans="1:10" s="162" customFormat="1" ht="18.75" x14ac:dyDescent="0.3">
      <c r="A19" s="172">
        <v>4</v>
      </c>
      <c r="B19" s="174" t="s">
        <v>291</v>
      </c>
      <c r="C19" s="198">
        <v>1</v>
      </c>
      <c r="D19" s="173">
        <v>1</v>
      </c>
      <c r="E19" s="173">
        <v>1</v>
      </c>
      <c r="F19" s="173">
        <v>1</v>
      </c>
      <c r="G19" s="319">
        <v>0</v>
      </c>
      <c r="H19" s="319">
        <v>0</v>
      </c>
      <c r="I19" s="319">
        <v>0</v>
      </c>
      <c r="J19" s="217"/>
    </row>
    <row r="20" spans="1:10" s="162" customFormat="1" ht="18.75" x14ac:dyDescent="0.3">
      <c r="A20" s="172">
        <v>5</v>
      </c>
      <c r="B20" s="174" t="s">
        <v>292</v>
      </c>
      <c r="C20" s="198">
        <v>1</v>
      </c>
      <c r="D20" s="173">
        <v>1</v>
      </c>
      <c r="E20" s="173">
        <v>1</v>
      </c>
      <c r="F20" s="173">
        <v>1</v>
      </c>
      <c r="G20" s="319">
        <v>0</v>
      </c>
      <c r="H20" s="319">
        <v>0</v>
      </c>
      <c r="I20" s="319">
        <v>0</v>
      </c>
      <c r="J20" s="217"/>
    </row>
    <row r="21" spans="1:10" s="162" customFormat="1" ht="18.75" x14ac:dyDescent="0.3">
      <c r="A21" s="172">
        <v>6</v>
      </c>
      <c r="B21" s="174" t="s">
        <v>293</v>
      </c>
      <c r="C21" s="198">
        <v>1</v>
      </c>
      <c r="D21" s="173">
        <v>1</v>
      </c>
      <c r="E21" s="173">
        <v>1</v>
      </c>
      <c r="F21" s="173">
        <v>1</v>
      </c>
      <c r="G21" s="319">
        <v>0</v>
      </c>
      <c r="H21" s="319">
        <v>0</v>
      </c>
      <c r="I21" s="319">
        <v>0</v>
      </c>
      <c r="J21" s="217"/>
    </row>
    <row r="22" spans="1:10" s="162" customFormat="1" ht="18.75" x14ac:dyDescent="0.3">
      <c r="A22" s="172">
        <v>7</v>
      </c>
      <c r="B22" s="174" t="s">
        <v>294</v>
      </c>
      <c r="C22" s="198">
        <v>1</v>
      </c>
      <c r="D22" s="173">
        <v>1</v>
      </c>
      <c r="E22" s="173">
        <v>1</v>
      </c>
      <c r="F22" s="173">
        <v>1</v>
      </c>
      <c r="G22" s="319">
        <v>0</v>
      </c>
      <c r="H22" s="319">
        <v>0</v>
      </c>
      <c r="I22" s="319">
        <v>0</v>
      </c>
      <c r="J22" s="217"/>
    </row>
    <row r="23" spans="1:10" s="162" customFormat="1" ht="18.75" x14ac:dyDescent="0.3">
      <c r="A23" s="172">
        <v>8</v>
      </c>
      <c r="B23" s="174" t="s">
        <v>295</v>
      </c>
      <c r="C23" s="198">
        <v>1</v>
      </c>
      <c r="D23" s="173">
        <v>1</v>
      </c>
      <c r="E23" s="173">
        <v>1</v>
      </c>
      <c r="F23" s="173">
        <v>1</v>
      </c>
      <c r="G23" s="319">
        <v>0</v>
      </c>
      <c r="H23" s="319">
        <v>0</v>
      </c>
      <c r="I23" s="319">
        <v>0</v>
      </c>
      <c r="J23" s="217"/>
    </row>
    <row r="24" spans="1:10" s="162" customFormat="1" ht="18.75" x14ac:dyDescent="0.3">
      <c r="A24" s="172">
        <v>9</v>
      </c>
      <c r="B24" s="174" t="s">
        <v>296</v>
      </c>
      <c r="C24" s="197">
        <v>1</v>
      </c>
      <c r="D24" s="173">
        <v>1</v>
      </c>
      <c r="E24" s="173">
        <v>1</v>
      </c>
      <c r="F24" s="173">
        <v>1</v>
      </c>
      <c r="G24" s="319">
        <v>0</v>
      </c>
      <c r="H24" s="319">
        <v>0</v>
      </c>
      <c r="I24" s="319">
        <v>0</v>
      </c>
      <c r="J24" s="217"/>
    </row>
    <row r="25" spans="1:10" s="162" customFormat="1" ht="18.75" x14ac:dyDescent="0.3">
      <c r="A25" s="172">
        <v>10</v>
      </c>
      <c r="B25" s="174" t="s">
        <v>297</v>
      </c>
      <c r="C25" s="197">
        <v>1</v>
      </c>
      <c r="D25" s="173">
        <v>1</v>
      </c>
      <c r="E25" s="173">
        <v>1</v>
      </c>
      <c r="F25" s="173">
        <v>1</v>
      </c>
      <c r="G25" s="319">
        <v>0</v>
      </c>
      <c r="H25" s="319">
        <v>0</v>
      </c>
      <c r="I25" s="319">
        <v>0</v>
      </c>
      <c r="J25" s="217"/>
    </row>
    <row r="26" spans="1:10" s="162" customFormat="1" ht="18.75" x14ac:dyDescent="0.3">
      <c r="A26" s="172">
        <v>11</v>
      </c>
      <c r="B26" s="174" t="s">
        <v>298</v>
      </c>
      <c r="C26" s="197">
        <v>1</v>
      </c>
      <c r="D26" s="173">
        <v>1</v>
      </c>
      <c r="E26" s="173">
        <v>1</v>
      </c>
      <c r="F26" s="173">
        <v>1</v>
      </c>
      <c r="G26" s="319">
        <v>0</v>
      </c>
      <c r="H26" s="319">
        <v>0</v>
      </c>
      <c r="I26" s="319">
        <v>0</v>
      </c>
      <c r="J26" s="217"/>
    </row>
    <row r="27" spans="1:10" s="162" customFormat="1" ht="18.75" x14ac:dyDescent="0.3">
      <c r="A27" s="172">
        <v>12</v>
      </c>
      <c r="B27" s="295" t="s">
        <v>299</v>
      </c>
      <c r="C27" s="198">
        <v>1</v>
      </c>
      <c r="D27" s="173">
        <v>1</v>
      </c>
      <c r="E27" s="173">
        <v>1</v>
      </c>
      <c r="F27" s="173">
        <v>1</v>
      </c>
      <c r="G27" s="319">
        <v>0</v>
      </c>
      <c r="H27" s="319">
        <v>0</v>
      </c>
      <c r="I27" s="319">
        <v>0</v>
      </c>
      <c r="J27" s="217"/>
    </row>
    <row r="28" spans="1:10" s="162" customFormat="1" ht="18.75" x14ac:dyDescent="0.3">
      <c r="A28" s="172">
        <v>13</v>
      </c>
      <c r="B28" s="174" t="s">
        <v>300</v>
      </c>
      <c r="C28" s="198">
        <v>1</v>
      </c>
      <c r="D28" s="173">
        <v>1</v>
      </c>
      <c r="E28" s="173">
        <v>1</v>
      </c>
      <c r="F28" s="173">
        <v>1</v>
      </c>
      <c r="G28" s="319">
        <v>0</v>
      </c>
      <c r="H28" s="319">
        <v>0</v>
      </c>
      <c r="I28" s="319">
        <v>0</v>
      </c>
      <c r="J28" s="217"/>
    </row>
    <row r="29" spans="1:10" s="162" customFormat="1" ht="18.75" x14ac:dyDescent="0.3">
      <c r="A29" s="172">
        <v>14</v>
      </c>
      <c r="B29" s="174" t="s">
        <v>223</v>
      </c>
      <c r="C29" s="198">
        <v>1</v>
      </c>
      <c r="D29" s="173">
        <v>1</v>
      </c>
      <c r="E29" s="173">
        <v>1</v>
      </c>
      <c r="F29" s="173">
        <v>1</v>
      </c>
      <c r="G29" s="319">
        <v>0</v>
      </c>
      <c r="H29" s="319">
        <v>0</v>
      </c>
      <c r="I29" s="319">
        <v>0</v>
      </c>
      <c r="J29" s="217"/>
    </row>
    <row r="30" spans="1:10" s="162" customFormat="1" ht="18.75" x14ac:dyDescent="0.3">
      <c r="A30" s="172">
        <v>15</v>
      </c>
      <c r="B30" s="174" t="s">
        <v>223</v>
      </c>
      <c r="C30" s="198">
        <v>1</v>
      </c>
      <c r="D30" s="173">
        <v>1</v>
      </c>
      <c r="E30" s="173">
        <v>1</v>
      </c>
      <c r="F30" s="173">
        <v>1</v>
      </c>
      <c r="G30" s="319">
        <v>0</v>
      </c>
      <c r="H30" s="319">
        <v>0</v>
      </c>
      <c r="I30" s="319">
        <v>0</v>
      </c>
      <c r="J30" s="217"/>
    </row>
    <row r="31" spans="1:10" s="162" customFormat="1" ht="18.75" x14ac:dyDescent="0.3">
      <c r="A31" s="172">
        <v>16</v>
      </c>
      <c r="B31" s="174" t="s">
        <v>223</v>
      </c>
      <c r="C31" s="198">
        <v>1</v>
      </c>
      <c r="D31" s="173">
        <v>1</v>
      </c>
      <c r="E31" s="173">
        <v>1</v>
      </c>
      <c r="F31" s="173">
        <v>1</v>
      </c>
      <c r="G31" s="319">
        <v>0</v>
      </c>
      <c r="H31" s="319">
        <v>0</v>
      </c>
      <c r="I31" s="319">
        <v>0</v>
      </c>
      <c r="J31" s="217"/>
    </row>
    <row r="32" spans="1:10" s="162" customFormat="1" ht="18.75" x14ac:dyDescent="0.3">
      <c r="A32" s="172">
        <v>17</v>
      </c>
      <c r="B32" s="174" t="s">
        <v>223</v>
      </c>
      <c r="C32" s="198">
        <v>1</v>
      </c>
      <c r="D32" s="173">
        <v>1</v>
      </c>
      <c r="E32" s="173">
        <v>1</v>
      </c>
      <c r="F32" s="173">
        <v>1</v>
      </c>
      <c r="G32" s="319">
        <v>0</v>
      </c>
      <c r="H32" s="319">
        <v>0</v>
      </c>
      <c r="I32" s="319">
        <v>0</v>
      </c>
      <c r="J32" s="217"/>
    </row>
    <row r="33" spans="1:10" s="162" customFormat="1" ht="18.75" x14ac:dyDescent="0.3">
      <c r="A33" s="172">
        <v>18</v>
      </c>
      <c r="B33" s="174" t="s">
        <v>223</v>
      </c>
      <c r="C33" s="198">
        <v>1</v>
      </c>
      <c r="D33" s="173">
        <v>1</v>
      </c>
      <c r="E33" s="173">
        <v>1</v>
      </c>
      <c r="F33" s="173">
        <v>1</v>
      </c>
      <c r="G33" s="319">
        <v>0</v>
      </c>
      <c r="H33" s="319">
        <v>0</v>
      </c>
      <c r="I33" s="319">
        <v>0</v>
      </c>
      <c r="J33" s="217"/>
    </row>
    <row r="34" spans="1:10" s="162" customFormat="1" ht="18.75" x14ac:dyDescent="0.3">
      <c r="A34" s="172">
        <v>19</v>
      </c>
      <c r="B34" s="174" t="s">
        <v>223</v>
      </c>
      <c r="C34" s="198">
        <v>1</v>
      </c>
      <c r="D34" s="173">
        <v>1</v>
      </c>
      <c r="E34" s="173">
        <v>1</v>
      </c>
      <c r="F34" s="173">
        <v>1</v>
      </c>
      <c r="G34" s="319">
        <v>0</v>
      </c>
      <c r="H34" s="319">
        <v>0</v>
      </c>
      <c r="I34" s="319">
        <v>0</v>
      </c>
      <c r="J34" s="217"/>
    </row>
    <row r="35" spans="1:10" s="162" customFormat="1" ht="18.75" x14ac:dyDescent="0.3">
      <c r="A35" s="172">
        <v>20</v>
      </c>
      <c r="B35" s="174" t="s">
        <v>257</v>
      </c>
      <c r="C35" s="198">
        <v>1</v>
      </c>
      <c r="D35" s="173">
        <v>1</v>
      </c>
      <c r="E35" s="173">
        <v>1</v>
      </c>
      <c r="F35" s="173">
        <v>1</v>
      </c>
      <c r="G35" s="345"/>
      <c r="H35" s="345"/>
      <c r="I35" s="345"/>
      <c r="J35" s="217"/>
    </row>
    <row r="36" spans="1:10" s="162" customFormat="1" ht="18.75" x14ac:dyDescent="0.3">
      <c r="A36" s="168"/>
      <c r="B36" s="222" t="s">
        <v>12</v>
      </c>
      <c r="C36" s="329"/>
      <c r="D36" s="170"/>
      <c r="E36" s="170"/>
      <c r="F36" s="170"/>
      <c r="G36" s="170"/>
      <c r="H36" s="170"/>
      <c r="I36" s="170"/>
      <c r="J36" s="213"/>
    </row>
    <row r="37" spans="1:10" s="162" customFormat="1" ht="18.75" x14ac:dyDescent="0.3">
      <c r="A37" s="168"/>
      <c r="B37" s="222" t="s">
        <v>41</v>
      </c>
      <c r="C37" s="201"/>
      <c r="D37" s="170"/>
      <c r="E37" s="170"/>
      <c r="F37" s="170"/>
      <c r="G37" s="170"/>
      <c r="H37" s="170"/>
      <c r="I37" s="170"/>
      <c r="J37" s="213"/>
    </row>
    <row r="38" spans="1:10" s="162" customFormat="1" ht="18.75" x14ac:dyDescent="0.3">
      <c r="A38" s="179">
        <v>21</v>
      </c>
      <c r="B38" s="205" t="s">
        <v>51</v>
      </c>
      <c r="C38" s="206">
        <v>1</v>
      </c>
      <c r="D38" s="207">
        <v>1</v>
      </c>
      <c r="E38" s="207">
        <v>1</v>
      </c>
      <c r="F38" s="207">
        <v>1</v>
      </c>
      <c r="G38" s="227">
        <v>0</v>
      </c>
      <c r="H38" s="227">
        <v>0</v>
      </c>
      <c r="I38" s="227">
        <v>0</v>
      </c>
      <c r="J38" s="216"/>
    </row>
    <row r="39" spans="1:10" s="162" customFormat="1" ht="18.75" x14ac:dyDescent="0.3">
      <c r="A39" s="172">
        <v>22</v>
      </c>
      <c r="B39" s="174" t="s">
        <v>50</v>
      </c>
      <c r="C39" s="204">
        <v>1</v>
      </c>
      <c r="D39" s="203">
        <v>1</v>
      </c>
      <c r="E39" s="203">
        <v>1</v>
      </c>
      <c r="F39" s="203">
        <v>1</v>
      </c>
      <c r="G39" s="180">
        <v>0</v>
      </c>
      <c r="H39" s="180">
        <v>0</v>
      </c>
      <c r="I39" s="180">
        <v>0</v>
      </c>
      <c r="J39" s="217"/>
    </row>
    <row r="40" spans="1:10" s="162" customFormat="1" ht="18.75" x14ac:dyDescent="0.3">
      <c r="A40" s="172">
        <v>23</v>
      </c>
      <c r="B40" s="174" t="s">
        <v>50</v>
      </c>
      <c r="C40" s="204">
        <v>1</v>
      </c>
      <c r="D40" s="203">
        <v>1</v>
      </c>
      <c r="E40" s="203">
        <v>1</v>
      </c>
      <c r="F40" s="203">
        <v>1</v>
      </c>
      <c r="G40" s="180">
        <v>0</v>
      </c>
      <c r="H40" s="180">
        <v>0</v>
      </c>
      <c r="I40" s="180">
        <v>0</v>
      </c>
      <c r="J40" s="217"/>
    </row>
    <row r="41" spans="1:10" s="162" customFormat="1" ht="18.75" x14ac:dyDescent="0.3">
      <c r="A41" s="183">
        <v>24</v>
      </c>
      <c r="B41" s="184" t="s">
        <v>50</v>
      </c>
      <c r="C41" s="228">
        <v>1</v>
      </c>
      <c r="D41" s="229">
        <v>1</v>
      </c>
      <c r="E41" s="229">
        <v>1</v>
      </c>
      <c r="F41" s="229">
        <v>1</v>
      </c>
      <c r="G41" s="230">
        <v>0</v>
      </c>
      <c r="H41" s="230">
        <v>0</v>
      </c>
      <c r="I41" s="230">
        <v>0</v>
      </c>
      <c r="J41" s="223"/>
    </row>
    <row r="42" spans="1:10" s="162" customFormat="1" ht="18.75" x14ac:dyDescent="0.3">
      <c r="A42" s="434"/>
      <c r="B42" s="251"/>
      <c r="C42" s="252"/>
      <c r="D42" s="253"/>
      <c r="E42" s="253"/>
      <c r="F42" s="253"/>
      <c r="G42" s="254"/>
      <c r="H42" s="254"/>
      <c r="I42" s="254"/>
      <c r="J42" s="255"/>
    </row>
    <row r="43" spans="1:10" s="209" customFormat="1" ht="18.75" x14ac:dyDescent="0.3">
      <c r="A43" s="239"/>
      <c r="B43" s="251"/>
      <c r="C43" s="252"/>
      <c r="D43" s="253"/>
      <c r="E43" s="253"/>
      <c r="F43" s="253"/>
      <c r="G43" s="254"/>
      <c r="H43" s="254"/>
      <c r="I43" s="254"/>
      <c r="J43" s="255">
        <v>18</v>
      </c>
    </row>
    <row r="44" spans="1:10" s="209" customFormat="1" ht="18.75" x14ac:dyDescent="0.3">
      <c r="A44" s="449" t="s">
        <v>5</v>
      </c>
      <c r="B44" s="449" t="s">
        <v>6</v>
      </c>
      <c r="C44" s="328" t="s">
        <v>218</v>
      </c>
      <c r="D44" s="452" t="s">
        <v>61</v>
      </c>
      <c r="E44" s="453"/>
      <c r="F44" s="454"/>
      <c r="G44" s="455" t="s">
        <v>57</v>
      </c>
      <c r="H44" s="456"/>
      <c r="I44" s="457"/>
      <c r="J44" s="458" t="s">
        <v>201</v>
      </c>
    </row>
    <row r="45" spans="1:10" s="209" customFormat="1" ht="18.75" x14ac:dyDescent="0.3">
      <c r="A45" s="450"/>
      <c r="B45" s="450"/>
      <c r="C45" s="330" t="s">
        <v>219</v>
      </c>
      <c r="D45" s="461" t="s">
        <v>62</v>
      </c>
      <c r="E45" s="462"/>
      <c r="F45" s="463"/>
      <c r="G45" s="461" t="s">
        <v>58</v>
      </c>
      <c r="H45" s="462"/>
      <c r="I45" s="463"/>
      <c r="J45" s="459"/>
    </row>
    <row r="46" spans="1:10" s="209" customFormat="1" ht="18.75" x14ac:dyDescent="0.3">
      <c r="A46" s="451"/>
      <c r="B46" s="451"/>
      <c r="C46" s="331" t="s">
        <v>220</v>
      </c>
      <c r="D46" s="192" t="s">
        <v>236</v>
      </c>
      <c r="E46" s="192" t="s">
        <v>238</v>
      </c>
      <c r="F46" s="192" t="s">
        <v>239</v>
      </c>
      <c r="G46" s="186">
        <v>2558</v>
      </c>
      <c r="H46" s="186">
        <v>2559</v>
      </c>
      <c r="I46" s="186">
        <v>2560</v>
      </c>
      <c r="J46" s="460"/>
    </row>
    <row r="47" spans="1:10" s="209" customFormat="1" ht="18.75" x14ac:dyDescent="0.3">
      <c r="A47" s="199"/>
      <c r="B47" s="178" t="s">
        <v>12</v>
      </c>
      <c r="C47" s="329"/>
      <c r="D47" s="168"/>
      <c r="E47" s="168"/>
      <c r="F47" s="168"/>
      <c r="G47" s="168"/>
      <c r="H47" s="168"/>
      <c r="I47" s="168"/>
      <c r="J47" s="221"/>
    </row>
    <row r="48" spans="1:10" s="209" customFormat="1" ht="18.75" x14ac:dyDescent="0.3">
      <c r="A48" s="199"/>
      <c r="B48" s="222" t="s">
        <v>41</v>
      </c>
      <c r="C48" s="329"/>
      <c r="D48" s="168"/>
      <c r="E48" s="168"/>
      <c r="F48" s="168"/>
      <c r="G48" s="168"/>
      <c r="H48" s="168"/>
      <c r="I48" s="168"/>
      <c r="J48" s="221"/>
    </row>
    <row r="49" spans="1:10" s="162" customFormat="1" ht="18.75" x14ac:dyDescent="0.3">
      <c r="A49" s="179">
        <v>25</v>
      </c>
      <c r="B49" s="205" t="s">
        <v>52</v>
      </c>
      <c r="C49" s="206">
        <v>1</v>
      </c>
      <c r="D49" s="207">
        <v>1</v>
      </c>
      <c r="E49" s="207">
        <v>1</v>
      </c>
      <c r="F49" s="207">
        <v>1</v>
      </c>
      <c r="G49" s="208">
        <v>0</v>
      </c>
      <c r="H49" s="208">
        <v>0</v>
      </c>
      <c r="I49" s="208">
        <v>0</v>
      </c>
      <c r="J49" s="213"/>
    </row>
    <row r="50" spans="1:10" s="162" customFormat="1" ht="18.75" x14ac:dyDescent="0.3">
      <c r="A50" s="172">
        <v>26</v>
      </c>
      <c r="B50" s="174" t="s">
        <v>193</v>
      </c>
      <c r="C50" s="204">
        <v>1</v>
      </c>
      <c r="D50" s="203">
        <v>1</v>
      </c>
      <c r="E50" s="203">
        <v>1</v>
      </c>
      <c r="F50" s="203">
        <v>1</v>
      </c>
      <c r="G50" s="319">
        <v>0</v>
      </c>
      <c r="H50" s="319">
        <v>0</v>
      </c>
      <c r="I50" s="319">
        <v>0</v>
      </c>
      <c r="J50" s="217"/>
    </row>
    <row r="51" spans="1:10" s="162" customFormat="1" ht="18.75" x14ac:dyDescent="0.3">
      <c r="A51" s="172">
        <v>27</v>
      </c>
      <c r="B51" s="174" t="s">
        <v>49</v>
      </c>
      <c r="C51" s="204">
        <v>1</v>
      </c>
      <c r="D51" s="203">
        <v>1</v>
      </c>
      <c r="E51" s="203">
        <v>1</v>
      </c>
      <c r="F51" s="203">
        <v>1</v>
      </c>
      <c r="G51" s="182">
        <v>0</v>
      </c>
      <c r="H51" s="182">
        <v>0</v>
      </c>
      <c r="I51" s="182">
        <v>0</v>
      </c>
      <c r="J51" s="217"/>
    </row>
    <row r="52" spans="1:10" s="162" customFormat="1" ht="18.75" x14ac:dyDescent="0.3">
      <c r="A52" s="179">
        <v>28</v>
      </c>
      <c r="B52" s="174" t="s">
        <v>48</v>
      </c>
      <c r="C52" s="203">
        <v>1</v>
      </c>
      <c r="D52" s="203">
        <v>1</v>
      </c>
      <c r="E52" s="203">
        <v>1</v>
      </c>
      <c r="F52" s="203">
        <v>1</v>
      </c>
      <c r="G52" s="182">
        <v>0</v>
      </c>
      <c r="H52" s="182">
        <v>0</v>
      </c>
      <c r="I52" s="182">
        <v>0</v>
      </c>
      <c r="J52" s="217"/>
    </row>
    <row r="53" spans="1:10" s="162" customFormat="1" ht="18.75" x14ac:dyDescent="0.3">
      <c r="A53" s="172">
        <v>29</v>
      </c>
      <c r="B53" s="174" t="s">
        <v>53</v>
      </c>
      <c r="C53" s="203">
        <v>1</v>
      </c>
      <c r="D53" s="203">
        <v>1</v>
      </c>
      <c r="E53" s="203">
        <v>1</v>
      </c>
      <c r="F53" s="203">
        <v>1</v>
      </c>
      <c r="G53" s="182">
        <v>0</v>
      </c>
      <c r="H53" s="182">
        <v>0</v>
      </c>
      <c r="I53" s="182">
        <v>0</v>
      </c>
      <c r="J53" s="217"/>
    </row>
    <row r="54" spans="1:10" s="162" customFormat="1" ht="18.75" x14ac:dyDescent="0.3">
      <c r="A54" s="172">
        <v>30</v>
      </c>
      <c r="B54" s="174" t="s">
        <v>194</v>
      </c>
      <c r="C54" s="203">
        <v>1</v>
      </c>
      <c r="D54" s="203">
        <v>1</v>
      </c>
      <c r="E54" s="203">
        <v>1</v>
      </c>
      <c r="F54" s="203">
        <v>1</v>
      </c>
      <c r="G54" s="319">
        <v>0</v>
      </c>
      <c r="H54" s="319">
        <v>0</v>
      </c>
      <c r="I54" s="319">
        <v>0</v>
      </c>
      <c r="J54" s="217"/>
    </row>
    <row r="55" spans="1:10" s="162" customFormat="1" ht="18.75" x14ac:dyDescent="0.3">
      <c r="A55" s="168"/>
      <c r="B55" s="222" t="s">
        <v>38</v>
      </c>
      <c r="C55" s="332"/>
      <c r="D55" s="224"/>
      <c r="E55" s="224"/>
      <c r="F55" s="224"/>
      <c r="G55" s="224"/>
      <c r="H55" s="224"/>
      <c r="I55" s="224"/>
      <c r="J55" s="213"/>
    </row>
    <row r="56" spans="1:10" s="162" customFormat="1" ht="18.75" x14ac:dyDescent="0.3">
      <c r="A56" s="179">
        <v>31</v>
      </c>
      <c r="B56" s="226" t="s">
        <v>46</v>
      </c>
      <c r="C56" s="206">
        <v>1</v>
      </c>
      <c r="D56" s="207">
        <v>1</v>
      </c>
      <c r="E56" s="207">
        <v>1</v>
      </c>
      <c r="F56" s="207">
        <v>1</v>
      </c>
      <c r="G56" s="208">
        <v>0</v>
      </c>
      <c r="H56" s="208">
        <v>0</v>
      </c>
      <c r="I56" s="208">
        <v>0</v>
      </c>
      <c r="J56" s="216"/>
    </row>
    <row r="57" spans="1:10" s="162" customFormat="1" ht="18.75" x14ac:dyDescent="0.3">
      <c r="A57" s="168"/>
      <c r="B57" s="222" t="s">
        <v>36</v>
      </c>
      <c r="C57" s="332"/>
      <c r="D57" s="225"/>
      <c r="E57" s="225"/>
      <c r="F57" s="225"/>
      <c r="G57" s="225"/>
      <c r="H57" s="225"/>
      <c r="I57" s="225"/>
      <c r="J57" s="213"/>
    </row>
    <row r="58" spans="1:10" s="162" customFormat="1" ht="18.75" x14ac:dyDescent="0.3">
      <c r="A58" s="179">
        <v>32</v>
      </c>
      <c r="B58" s="205" t="s">
        <v>47</v>
      </c>
      <c r="C58" s="333">
        <v>1</v>
      </c>
      <c r="D58" s="176">
        <v>1</v>
      </c>
      <c r="E58" s="176">
        <v>1</v>
      </c>
      <c r="F58" s="176">
        <v>1</v>
      </c>
      <c r="G58" s="319">
        <v>0</v>
      </c>
      <c r="H58" s="319">
        <v>0</v>
      </c>
      <c r="I58" s="319">
        <v>0</v>
      </c>
      <c r="J58" s="216"/>
    </row>
    <row r="59" spans="1:10" s="162" customFormat="1" ht="18.75" x14ac:dyDescent="0.3">
      <c r="A59" s="172">
        <v>33</v>
      </c>
      <c r="B59" s="174" t="s">
        <v>47</v>
      </c>
      <c r="C59" s="333">
        <v>1</v>
      </c>
      <c r="D59" s="176">
        <v>1</v>
      </c>
      <c r="E59" s="176">
        <v>1</v>
      </c>
      <c r="F59" s="176">
        <v>1</v>
      </c>
      <c r="G59" s="319">
        <v>0</v>
      </c>
      <c r="H59" s="319">
        <v>0</v>
      </c>
      <c r="I59" s="319">
        <v>0</v>
      </c>
      <c r="J59" s="217"/>
    </row>
    <row r="60" spans="1:10" s="162" customFormat="1" ht="18.75" x14ac:dyDescent="0.3">
      <c r="A60" s="172">
        <v>34</v>
      </c>
      <c r="B60" s="174" t="s">
        <v>46</v>
      </c>
      <c r="C60" s="333">
        <v>1</v>
      </c>
      <c r="D60" s="176">
        <v>1</v>
      </c>
      <c r="E60" s="176">
        <v>1</v>
      </c>
      <c r="F60" s="176">
        <v>1</v>
      </c>
      <c r="G60" s="319">
        <v>0</v>
      </c>
      <c r="H60" s="319">
        <v>0</v>
      </c>
      <c r="I60" s="319">
        <v>0</v>
      </c>
      <c r="J60" s="217"/>
    </row>
    <row r="61" spans="1:10" s="162" customFormat="1" ht="18.75" x14ac:dyDescent="0.3">
      <c r="A61" s="172">
        <v>35</v>
      </c>
      <c r="B61" s="174" t="s">
        <v>45</v>
      </c>
      <c r="C61" s="198">
        <v>1</v>
      </c>
      <c r="D61" s="173">
        <v>1</v>
      </c>
      <c r="E61" s="173">
        <v>1</v>
      </c>
      <c r="F61" s="173">
        <v>1</v>
      </c>
      <c r="G61" s="319">
        <v>0</v>
      </c>
      <c r="H61" s="319">
        <v>0</v>
      </c>
      <c r="I61" s="319">
        <v>0</v>
      </c>
      <c r="J61" s="217"/>
    </row>
    <row r="62" spans="1:10" s="162" customFormat="1" ht="19.5" thickBot="1" x14ac:dyDescent="0.35">
      <c r="A62" s="263">
        <v>36</v>
      </c>
      <c r="B62" s="264" t="s">
        <v>44</v>
      </c>
      <c r="C62" s="334">
        <v>1</v>
      </c>
      <c r="D62" s="265">
        <v>1</v>
      </c>
      <c r="E62" s="265">
        <v>1</v>
      </c>
      <c r="F62" s="265">
        <v>1</v>
      </c>
      <c r="G62" s="321">
        <v>0</v>
      </c>
      <c r="H62" s="321">
        <v>0</v>
      </c>
      <c r="I62" s="321">
        <v>0</v>
      </c>
      <c r="J62" s="267"/>
    </row>
    <row r="63" spans="1:10" s="162" customFormat="1" ht="19.5" thickTop="1" x14ac:dyDescent="0.3">
      <c r="A63" s="168"/>
      <c r="B63" s="222" t="s">
        <v>317</v>
      </c>
      <c r="C63" s="201"/>
      <c r="D63" s="170"/>
      <c r="E63" s="170"/>
      <c r="F63" s="170"/>
      <c r="G63" s="170"/>
      <c r="H63" s="170"/>
      <c r="I63" s="170"/>
      <c r="J63" s="213"/>
    </row>
    <row r="64" spans="1:10" s="162" customFormat="1" ht="18.75" x14ac:dyDescent="0.3">
      <c r="A64" s="168">
        <v>37</v>
      </c>
      <c r="B64" s="169" t="s">
        <v>301</v>
      </c>
      <c r="C64" s="329">
        <v>1</v>
      </c>
      <c r="D64" s="170">
        <v>1</v>
      </c>
      <c r="E64" s="170">
        <v>1</v>
      </c>
      <c r="F64" s="170">
        <v>1</v>
      </c>
      <c r="G64" s="322">
        <v>0</v>
      </c>
      <c r="H64" s="322">
        <v>0</v>
      </c>
      <c r="I64" s="322">
        <v>0</v>
      </c>
      <c r="J64" s="213"/>
    </row>
    <row r="65" spans="1:10" s="162" customFormat="1" ht="18.75" x14ac:dyDescent="0.3">
      <c r="A65" s="179"/>
      <c r="B65" s="205" t="s">
        <v>302</v>
      </c>
      <c r="C65" s="333"/>
      <c r="D65" s="176"/>
      <c r="E65" s="176"/>
      <c r="F65" s="176"/>
      <c r="G65" s="319"/>
      <c r="H65" s="319"/>
      <c r="I65" s="319"/>
      <c r="J65" s="216"/>
    </row>
    <row r="66" spans="1:10" s="162" customFormat="1" ht="18.75" x14ac:dyDescent="0.3">
      <c r="A66" s="172">
        <v>38</v>
      </c>
      <c r="B66" s="174" t="s">
        <v>303</v>
      </c>
      <c r="C66" s="198">
        <v>1</v>
      </c>
      <c r="D66" s="173">
        <v>1</v>
      </c>
      <c r="E66" s="173">
        <v>1</v>
      </c>
      <c r="F66" s="173">
        <v>1</v>
      </c>
      <c r="G66" s="319">
        <v>0</v>
      </c>
      <c r="H66" s="319">
        <v>0</v>
      </c>
      <c r="I66" s="319">
        <v>0</v>
      </c>
      <c r="J66" s="217"/>
    </row>
    <row r="67" spans="1:10" s="162" customFormat="1" ht="18.75" x14ac:dyDescent="0.3">
      <c r="A67" s="172">
        <v>39</v>
      </c>
      <c r="B67" s="174" t="s">
        <v>304</v>
      </c>
      <c r="C67" s="198">
        <v>1</v>
      </c>
      <c r="D67" s="173">
        <v>1</v>
      </c>
      <c r="E67" s="173">
        <v>1</v>
      </c>
      <c r="F67" s="173">
        <v>1</v>
      </c>
      <c r="G67" s="319">
        <v>0</v>
      </c>
      <c r="H67" s="319">
        <v>0</v>
      </c>
      <c r="I67" s="319">
        <v>0</v>
      </c>
      <c r="J67" s="217"/>
    </row>
    <row r="68" spans="1:10" s="162" customFormat="1" ht="18.75" x14ac:dyDescent="0.3">
      <c r="A68" s="172">
        <v>40</v>
      </c>
      <c r="B68" s="174" t="s">
        <v>305</v>
      </c>
      <c r="C68" s="198">
        <v>1</v>
      </c>
      <c r="D68" s="173">
        <v>1</v>
      </c>
      <c r="E68" s="173">
        <v>1</v>
      </c>
      <c r="F68" s="173">
        <v>1</v>
      </c>
      <c r="G68" s="319">
        <v>0</v>
      </c>
      <c r="H68" s="319">
        <v>0</v>
      </c>
      <c r="I68" s="319">
        <v>0</v>
      </c>
      <c r="J68" s="217"/>
    </row>
    <row r="69" spans="1:10" s="162" customFormat="1" ht="18.75" x14ac:dyDescent="0.3">
      <c r="A69" s="172">
        <v>41</v>
      </c>
      <c r="B69" s="187" t="s">
        <v>306</v>
      </c>
      <c r="C69" s="200">
        <v>1</v>
      </c>
      <c r="D69" s="188">
        <v>1</v>
      </c>
      <c r="E69" s="188">
        <v>1</v>
      </c>
      <c r="F69" s="188">
        <v>1</v>
      </c>
      <c r="G69" s="319">
        <v>0</v>
      </c>
      <c r="H69" s="319">
        <v>0</v>
      </c>
      <c r="I69" s="319">
        <v>0</v>
      </c>
      <c r="J69" s="217"/>
    </row>
    <row r="70" spans="1:10" s="162" customFormat="1" ht="18.75" x14ac:dyDescent="0.3">
      <c r="A70" s="172">
        <v>42</v>
      </c>
      <c r="B70" s="174" t="s">
        <v>307</v>
      </c>
      <c r="C70" s="198">
        <v>1</v>
      </c>
      <c r="D70" s="173">
        <v>1</v>
      </c>
      <c r="E70" s="173">
        <v>1</v>
      </c>
      <c r="F70" s="173">
        <v>1</v>
      </c>
      <c r="G70" s="319">
        <v>0</v>
      </c>
      <c r="H70" s="319">
        <v>0</v>
      </c>
      <c r="I70" s="319">
        <v>0</v>
      </c>
      <c r="J70" s="217"/>
    </row>
    <row r="71" spans="1:10" s="162" customFormat="1" ht="18.75" x14ac:dyDescent="0.3">
      <c r="A71" s="172">
        <v>43</v>
      </c>
      <c r="B71" s="174" t="s">
        <v>308</v>
      </c>
      <c r="C71" s="197">
        <v>1</v>
      </c>
      <c r="D71" s="173">
        <v>1</v>
      </c>
      <c r="E71" s="173">
        <v>1</v>
      </c>
      <c r="F71" s="173">
        <v>1</v>
      </c>
      <c r="G71" s="319">
        <v>0</v>
      </c>
      <c r="H71" s="319">
        <v>0</v>
      </c>
      <c r="I71" s="319">
        <v>0</v>
      </c>
      <c r="J71" s="217"/>
    </row>
    <row r="72" spans="1:10" s="162" customFormat="1" ht="18.75" x14ac:dyDescent="0.3">
      <c r="A72" s="190"/>
      <c r="B72" s="215" t="s">
        <v>26</v>
      </c>
      <c r="C72" s="335"/>
      <c r="D72" s="188"/>
      <c r="E72" s="188"/>
      <c r="F72" s="188"/>
      <c r="G72" s="188"/>
      <c r="H72" s="188"/>
      <c r="I72" s="188"/>
      <c r="J72" s="218"/>
    </row>
    <row r="73" spans="1:10" s="162" customFormat="1" ht="18.75" x14ac:dyDescent="0.3">
      <c r="A73" s="179">
        <v>44</v>
      </c>
      <c r="B73" s="205" t="s">
        <v>309</v>
      </c>
      <c r="C73" s="318">
        <v>1</v>
      </c>
      <c r="D73" s="176">
        <v>1</v>
      </c>
      <c r="E73" s="176">
        <v>1</v>
      </c>
      <c r="F73" s="176">
        <v>1</v>
      </c>
      <c r="G73" s="319">
        <v>0</v>
      </c>
      <c r="H73" s="319">
        <v>0</v>
      </c>
      <c r="I73" s="319">
        <v>0</v>
      </c>
      <c r="J73" s="216"/>
    </row>
    <row r="74" spans="1:10" s="162" customFormat="1" ht="18.75" x14ac:dyDescent="0.3">
      <c r="A74" s="190"/>
      <c r="B74" s="215" t="s">
        <v>41</v>
      </c>
      <c r="C74" s="335"/>
      <c r="D74" s="188"/>
      <c r="E74" s="188"/>
      <c r="F74" s="188"/>
      <c r="G74" s="189"/>
      <c r="H74" s="189"/>
      <c r="I74" s="189"/>
      <c r="J74" s="218"/>
    </row>
    <row r="75" spans="1:10" s="162" customFormat="1" ht="18.75" x14ac:dyDescent="0.3">
      <c r="A75" s="179">
        <v>45</v>
      </c>
      <c r="B75" s="205" t="s">
        <v>49</v>
      </c>
      <c r="C75" s="318">
        <v>1</v>
      </c>
      <c r="D75" s="176">
        <v>1</v>
      </c>
      <c r="E75" s="176">
        <v>1</v>
      </c>
      <c r="F75" s="176">
        <v>1</v>
      </c>
      <c r="G75" s="319">
        <v>0</v>
      </c>
      <c r="H75" s="319">
        <v>0</v>
      </c>
      <c r="I75" s="319">
        <v>0</v>
      </c>
      <c r="J75" s="216"/>
    </row>
    <row r="76" spans="1:10" s="162" customFormat="1" ht="19.5" thickBot="1" x14ac:dyDescent="0.35">
      <c r="A76" s="168">
        <v>46</v>
      </c>
      <c r="B76" s="169" t="s">
        <v>192</v>
      </c>
      <c r="C76" s="201">
        <v>1</v>
      </c>
      <c r="D76" s="201">
        <v>1</v>
      </c>
      <c r="E76" s="201">
        <v>1</v>
      </c>
      <c r="F76" s="201">
        <v>1</v>
      </c>
      <c r="G76" s="319">
        <v>0</v>
      </c>
      <c r="H76" s="319">
        <v>0</v>
      </c>
      <c r="I76" s="319">
        <v>0</v>
      </c>
      <c r="J76" s="262"/>
    </row>
    <row r="77" spans="1:10" s="162" customFormat="1" ht="19.5" thickTop="1" x14ac:dyDescent="0.3">
      <c r="A77" s="210"/>
      <c r="B77" s="211" t="s">
        <v>318</v>
      </c>
      <c r="C77" s="336"/>
      <c r="D77" s="212"/>
      <c r="E77" s="212"/>
      <c r="F77" s="212"/>
      <c r="G77" s="212"/>
      <c r="H77" s="212"/>
      <c r="I77" s="212"/>
      <c r="J77" s="213"/>
    </row>
    <row r="78" spans="1:10" s="162" customFormat="1" ht="18.75" x14ac:dyDescent="0.3">
      <c r="A78" s="168">
        <v>47</v>
      </c>
      <c r="B78" s="169" t="s">
        <v>311</v>
      </c>
      <c r="C78" s="329">
        <v>1</v>
      </c>
      <c r="D78" s="170">
        <v>1</v>
      </c>
      <c r="E78" s="170">
        <v>1</v>
      </c>
      <c r="F78" s="170">
        <v>1</v>
      </c>
      <c r="G78" s="322">
        <v>0</v>
      </c>
      <c r="H78" s="322">
        <v>0</v>
      </c>
      <c r="I78" s="322">
        <v>0</v>
      </c>
      <c r="J78" s="213"/>
    </row>
    <row r="79" spans="1:10" s="162" customFormat="1" ht="18.75" x14ac:dyDescent="0.3">
      <c r="A79" s="179"/>
      <c r="B79" s="205" t="s">
        <v>310</v>
      </c>
      <c r="C79" s="333"/>
      <c r="D79" s="176"/>
      <c r="E79" s="176"/>
      <c r="F79" s="176"/>
      <c r="G79" s="319"/>
      <c r="H79" s="319"/>
      <c r="I79" s="319"/>
      <c r="J79" s="216"/>
    </row>
    <row r="80" spans="1:10" s="162" customFormat="1" ht="18.75" x14ac:dyDescent="0.3">
      <c r="A80" s="172">
        <v>48</v>
      </c>
      <c r="B80" s="174" t="s">
        <v>312</v>
      </c>
      <c r="C80" s="197">
        <v>1</v>
      </c>
      <c r="D80" s="173">
        <v>1</v>
      </c>
      <c r="E80" s="173">
        <v>1</v>
      </c>
      <c r="F80" s="173">
        <v>1</v>
      </c>
      <c r="G80" s="319">
        <v>0</v>
      </c>
      <c r="H80" s="319">
        <v>0</v>
      </c>
      <c r="I80" s="319">
        <v>0</v>
      </c>
      <c r="J80" s="217"/>
    </row>
    <row r="81" spans="1:10" s="162" customFormat="1" ht="18.75" x14ac:dyDescent="0.3">
      <c r="A81" s="172">
        <v>49</v>
      </c>
      <c r="B81" s="174" t="s">
        <v>313</v>
      </c>
      <c r="C81" s="197">
        <v>1</v>
      </c>
      <c r="D81" s="173">
        <v>1</v>
      </c>
      <c r="E81" s="173">
        <v>1</v>
      </c>
      <c r="F81" s="173">
        <v>1</v>
      </c>
      <c r="G81" s="319">
        <v>0</v>
      </c>
      <c r="H81" s="319">
        <v>0</v>
      </c>
      <c r="I81" s="319">
        <v>0</v>
      </c>
      <c r="J81" s="217"/>
    </row>
    <row r="82" spans="1:10" s="162" customFormat="1" ht="18.75" x14ac:dyDescent="0.3">
      <c r="A82" s="172">
        <v>50</v>
      </c>
      <c r="B82" s="174" t="s">
        <v>314</v>
      </c>
      <c r="C82" s="197">
        <v>1</v>
      </c>
      <c r="D82" s="173">
        <v>1</v>
      </c>
      <c r="E82" s="173">
        <v>1</v>
      </c>
      <c r="F82" s="173">
        <v>1</v>
      </c>
      <c r="G82" s="319">
        <v>0</v>
      </c>
      <c r="H82" s="319">
        <v>0</v>
      </c>
      <c r="I82" s="319">
        <v>0</v>
      </c>
      <c r="J82" s="217"/>
    </row>
    <row r="83" spans="1:10" s="162" customFormat="1" ht="18.75" x14ac:dyDescent="0.3">
      <c r="A83" s="183">
        <v>51</v>
      </c>
      <c r="B83" s="184" t="s">
        <v>315</v>
      </c>
      <c r="C83" s="219">
        <v>1</v>
      </c>
      <c r="D83" s="220">
        <v>1</v>
      </c>
      <c r="E83" s="220">
        <v>1</v>
      </c>
      <c r="F83" s="220">
        <v>1</v>
      </c>
      <c r="G83" s="340">
        <v>0</v>
      </c>
      <c r="H83" s="340">
        <v>0</v>
      </c>
      <c r="I83" s="340">
        <v>0</v>
      </c>
      <c r="J83" s="223"/>
    </row>
    <row r="84" spans="1:10" s="162" customFormat="1" ht="18.75" x14ac:dyDescent="0.3">
      <c r="A84" s="242"/>
      <c r="B84" s="243"/>
      <c r="C84" s="259"/>
      <c r="D84" s="260"/>
      <c r="E84" s="260"/>
      <c r="F84" s="260"/>
      <c r="G84" s="261"/>
      <c r="H84" s="261"/>
      <c r="I84" s="261"/>
      <c r="J84" s="247"/>
    </row>
    <row r="85" spans="1:10" s="162" customFormat="1" ht="18.75" x14ac:dyDescent="0.3">
      <c r="A85" s="239"/>
      <c r="B85" s="251"/>
      <c r="C85" s="256"/>
      <c r="D85" s="257"/>
      <c r="E85" s="257"/>
      <c r="F85" s="257"/>
      <c r="G85" s="258"/>
      <c r="H85" s="258"/>
      <c r="I85" s="258"/>
      <c r="J85" s="255">
        <v>19</v>
      </c>
    </row>
    <row r="86" spans="1:10" s="162" customFormat="1" ht="18.75" x14ac:dyDescent="0.3">
      <c r="A86" s="449" t="s">
        <v>5</v>
      </c>
      <c r="B86" s="449" t="s">
        <v>6</v>
      </c>
      <c r="C86" s="328" t="s">
        <v>218</v>
      </c>
      <c r="D86" s="452" t="s">
        <v>61</v>
      </c>
      <c r="E86" s="453"/>
      <c r="F86" s="454"/>
      <c r="G86" s="455" t="s">
        <v>57</v>
      </c>
      <c r="H86" s="456"/>
      <c r="I86" s="457"/>
      <c r="J86" s="458" t="s">
        <v>201</v>
      </c>
    </row>
    <row r="87" spans="1:10" s="162" customFormat="1" ht="18.75" x14ac:dyDescent="0.3">
      <c r="A87" s="450"/>
      <c r="B87" s="450"/>
      <c r="C87" s="330" t="s">
        <v>219</v>
      </c>
      <c r="D87" s="461" t="s">
        <v>62</v>
      </c>
      <c r="E87" s="462"/>
      <c r="F87" s="463"/>
      <c r="G87" s="461" t="s">
        <v>58</v>
      </c>
      <c r="H87" s="462"/>
      <c r="I87" s="463"/>
      <c r="J87" s="459"/>
    </row>
    <row r="88" spans="1:10" s="162" customFormat="1" ht="18.75" x14ac:dyDescent="0.3">
      <c r="A88" s="451"/>
      <c r="B88" s="450"/>
      <c r="C88" s="331" t="s">
        <v>220</v>
      </c>
      <c r="D88" s="234" t="s">
        <v>236</v>
      </c>
      <c r="E88" s="192" t="s">
        <v>238</v>
      </c>
      <c r="F88" s="192" t="s">
        <v>239</v>
      </c>
      <c r="G88" s="186">
        <v>2558</v>
      </c>
      <c r="H88" s="186">
        <v>2559</v>
      </c>
      <c r="I88" s="186">
        <v>2560</v>
      </c>
      <c r="J88" s="460"/>
    </row>
    <row r="89" spans="1:10" s="162" customFormat="1" ht="18.75" x14ac:dyDescent="0.3">
      <c r="A89" s="168"/>
      <c r="B89" s="178" t="s">
        <v>318</v>
      </c>
      <c r="C89" s="201"/>
      <c r="D89" s="170"/>
      <c r="E89" s="170"/>
      <c r="F89" s="170"/>
      <c r="G89" s="171"/>
      <c r="H89" s="171"/>
      <c r="I89" s="171"/>
      <c r="J89" s="213"/>
    </row>
    <row r="90" spans="1:10" s="162" customFormat="1" ht="18.75" x14ac:dyDescent="0.3">
      <c r="A90" s="179">
        <v>52</v>
      </c>
      <c r="B90" s="205" t="s">
        <v>316</v>
      </c>
      <c r="C90" s="318">
        <v>1</v>
      </c>
      <c r="D90" s="176">
        <v>1</v>
      </c>
      <c r="E90" s="176">
        <v>1</v>
      </c>
      <c r="F90" s="176">
        <v>1</v>
      </c>
      <c r="G90" s="319">
        <v>0</v>
      </c>
      <c r="H90" s="319">
        <v>0</v>
      </c>
      <c r="I90" s="319">
        <v>0</v>
      </c>
      <c r="J90" s="216"/>
    </row>
    <row r="91" spans="1:10" s="162" customFormat="1" ht="18.75" x14ac:dyDescent="0.3">
      <c r="A91" s="190"/>
      <c r="B91" s="215" t="s">
        <v>41</v>
      </c>
      <c r="C91" s="201"/>
      <c r="D91" s="170"/>
      <c r="E91" s="170"/>
      <c r="F91" s="170"/>
      <c r="G91" s="248"/>
      <c r="H91" s="171"/>
      <c r="I91" s="171"/>
      <c r="J91" s="213"/>
    </row>
    <row r="92" spans="1:10" s="162" customFormat="1" ht="18.75" x14ac:dyDescent="0.3">
      <c r="A92" s="179">
        <v>53</v>
      </c>
      <c r="B92" s="205" t="s">
        <v>40</v>
      </c>
      <c r="C92" s="318">
        <v>1</v>
      </c>
      <c r="D92" s="176">
        <v>1</v>
      </c>
      <c r="E92" s="176">
        <v>1</v>
      </c>
      <c r="F92" s="176">
        <v>1</v>
      </c>
      <c r="G92" s="319">
        <v>0</v>
      </c>
      <c r="H92" s="319">
        <v>0</v>
      </c>
      <c r="I92" s="319">
        <v>0</v>
      </c>
      <c r="J92" s="213"/>
    </row>
    <row r="93" spans="1:10" s="162" customFormat="1" ht="18.75" x14ac:dyDescent="0.3">
      <c r="A93" s="172">
        <v>54</v>
      </c>
      <c r="B93" s="191" t="s">
        <v>39</v>
      </c>
      <c r="C93" s="318">
        <v>1</v>
      </c>
      <c r="D93" s="173">
        <v>1</v>
      </c>
      <c r="E93" s="173">
        <v>1</v>
      </c>
      <c r="F93" s="173">
        <v>1</v>
      </c>
      <c r="G93" s="319">
        <v>0</v>
      </c>
      <c r="H93" s="319">
        <v>0</v>
      </c>
      <c r="I93" s="319">
        <v>0</v>
      </c>
      <c r="J93" s="217"/>
    </row>
    <row r="94" spans="1:10" s="162" customFormat="1" ht="18.75" x14ac:dyDescent="0.3">
      <c r="A94" s="172">
        <v>55</v>
      </c>
      <c r="B94" s="191" t="s">
        <v>280</v>
      </c>
      <c r="C94" s="197">
        <v>1</v>
      </c>
      <c r="D94" s="173">
        <v>1</v>
      </c>
      <c r="E94" s="173">
        <v>1</v>
      </c>
      <c r="F94" s="173">
        <v>1</v>
      </c>
      <c r="G94" s="319">
        <v>0</v>
      </c>
      <c r="H94" s="319">
        <v>0</v>
      </c>
      <c r="I94" s="319">
        <v>0</v>
      </c>
      <c r="J94" s="217"/>
    </row>
    <row r="95" spans="1:10" s="162" customFormat="1" ht="18.75" x14ac:dyDescent="0.3">
      <c r="A95" s="190"/>
      <c r="B95" s="215" t="s">
        <v>38</v>
      </c>
      <c r="C95" s="335"/>
      <c r="D95" s="188"/>
      <c r="E95" s="188"/>
      <c r="F95" s="188"/>
      <c r="G95" s="316"/>
      <c r="H95" s="189"/>
      <c r="I95" s="189"/>
      <c r="J95" s="218"/>
    </row>
    <row r="96" spans="1:10" s="162" customFormat="1" ht="18.75" x14ac:dyDescent="0.3">
      <c r="A96" s="168">
        <v>56</v>
      </c>
      <c r="B96" s="169" t="s">
        <v>37</v>
      </c>
      <c r="C96" s="201">
        <v>1</v>
      </c>
      <c r="D96" s="170">
        <v>1</v>
      </c>
      <c r="E96" s="170">
        <v>1</v>
      </c>
      <c r="F96" s="170">
        <v>1</v>
      </c>
      <c r="G96" s="319">
        <v>0</v>
      </c>
      <c r="H96" s="319">
        <v>0</v>
      </c>
      <c r="I96" s="319">
        <v>0</v>
      </c>
      <c r="J96" s="213"/>
    </row>
    <row r="97" spans="1:15" s="162" customFormat="1" ht="18.75" x14ac:dyDescent="0.3">
      <c r="A97" s="172">
        <v>57</v>
      </c>
      <c r="B97" s="174" t="s">
        <v>37</v>
      </c>
      <c r="C97" s="197">
        <v>1</v>
      </c>
      <c r="D97" s="173">
        <v>1</v>
      </c>
      <c r="E97" s="173">
        <v>1</v>
      </c>
      <c r="F97" s="173">
        <v>1</v>
      </c>
      <c r="G97" s="319">
        <v>0</v>
      </c>
      <c r="H97" s="319">
        <v>0</v>
      </c>
      <c r="I97" s="319">
        <v>0</v>
      </c>
      <c r="J97" s="217"/>
    </row>
    <row r="98" spans="1:15" s="162" customFormat="1" ht="18.75" x14ac:dyDescent="0.3">
      <c r="A98" s="190"/>
      <c r="B98" s="215" t="s">
        <v>36</v>
      </c>
      <c r="C98" s="335"/>
      <c r="D98" s="188"/>
      <c r="E98" s="188"/>
      <c r="F98" s="188"/>
      <c r="G98" s="316"/>
      <c r="H98" s="250"/>
      <c r="I98" s="250"/>
      <c r="J98" s="218"/>
    </row>
    <row r="99" spans="1:15" s="162" customFormat="1" ht="18.75" x14ac:dyDescent="0.3">
      <c r="A99" s="168">
        <v>58</v>
      </c>
      <c r="B99" s="205" t="s">
        <v>35</v>
      </c>
      <c r="C99" s="201">
        <v>1</v>
      </c>
      <c r="D99" s="170">
        <v>1</v>
      </c>
      <c r="E99" s="170">
        <v>1</v>
      </c>
      <c r="F99" s="170">
        <v>1</v>
      </c>
      <c r="G99" s="319">
        <v>0</v>
      </c>
      <c r="H99" s="319">
        <v>0</v>
      </c>
      <c r="I99" s="319">
        <v>0</v>
      </c>
      <c r="J99" s="213"/>
    </row>
    <row r="100" spans="1:15" s="162" customFormat="1" ht="18.75" x14ac:dyDescent="0.3">
      <c r="A100" s="172">
        <v>59</v>
      </c>
      <c r="B100" s="169" t="s">
        <v>35</v>
      </c>
      <c r="C100" s="197">
        <v>1</v>
      </c>
      <c r="D100" s="173">
        <v>1</v>
      </c>
      <c r="E100" s="173">
        <v>1</v>
      </c>
      <c r="F100" s="173">
        <v>1</v>
      </c>
      <c r="G100" s="319">
        <v>0</v>
      </c>
      <c r="H100" s="319">
        <v>0</v>
      </c>
      <c r="I100" s="319">
        <v>0</v>
      </c>
      <c r="J100" s="217"/>
      <c r="O100" s="249"/>
    </row>
    <row r="101" spans="1:15" s="162" customFormat="1" ht="20.25" customHeight="1" x14ac:dyDescent="0.3">
      <c r="A101" s="172">
        <v>60</v>
      </c>
      <c r="B101" s="174" t="s">
        <v>35</v>
      </c>
      <c r="C101" s="197">
        <v>1</v>
      </c>
      <c r="D101" s="173">
        <v>1</v>
      </c>
      <c r="E101" s="173">
        <v>1</v>
      </c>
      <c r="F101" s="173">
        <v>1</v>
      </c>
      <c r="G101" s="319">
        <v>0</v>
      </c>
      <c r="H101" s="319">
        <v>0</v>
      </c>
      <c r="I101" s="319">
        <v>0</v>
      </c>
      <c r="J101" s="217"/>
    </row>
    <row r="102" spans="1:15" s="162" customFormat="1" ht="20.25" customHeight="1" x14ac:dyDescent="0.3">
      <c r="A102" s="183">
        <v>61</v>
      </c>
      <c r="B102" s="174" t="s">
        <v>37</v>
      </c>
      <c r="C102" s="197">
        <v>1</v>
      </c>
      <c r="D102" s="173">
        <v>1</v>
      </c>
      <c r="E102" s="173">
        <v>1</v>
      </c>
      <c r="F102" s="173">
        <v>1</v>
      </c>
      <c r="G102" s="319">
        <v>0</v>
      </c>
      <c r="H102" s="319">
        <v>0</v>
      </c>
      <c r="I102" s="319">
        <v>0</v>
      </c>
      <c r="J102" s="217"/>
    </row>
    <row r="103" spans="1:15" s="162" customFormat="1" ht="18.75" x14ac:dyDescent="0.3">
      <c r="A103" s="447" t="s">
        <v>28</v>
      </c>
      <c r="B103" s="448"/>
      <c r="C103" s="337">
        <f>SUM(C12:C102)</f>
        <v>61</v>
      </c>
      <c r="D103" s="192">
        <f>SUM(D12:D102)</f>
        <v>61</v>
      </c>
      <c r="E103" s="192">
        <f>SUM(E12:E102)</f>
        <v>61</v>
      </c>
      <c r="F103" s="192">
        <f>SUM(F12:F102)</f>
        <v>61</v>
      </c>
      <c r="G103" s="317"/>
      <c r="H103" s="202"/>
      <c r="I103" s="202"/>
      <c r="J103" s="214"/>
    </row>
    <row r="104" spans="1:15" s="162" customFormat="1" ht="18.75" x14ac:dyDescent="0.3">
      <c r="A104" s="193"/>
      <c r="B104" s="193"/>
      <c r="C104" s="338"/>
      <c r="D104" s="193"/>
      <c r="E104" s="193"/>
      <c r="F104" s="193"/>
      <c r="G104" s="193"/>
      <c r="H104" s="193"/>
      <c r="I104" s="193"/>
      <c r="J104" s="195"/>
    </row>
    <row r="105" spans="1:15" s="162" customFormat="1" ht="18.75" x14ac:dyDescent="0.3">
      <c r="A105" s="193"/>
      <c r="B105" s="193"/>
      <c r="C105" s="338"/>
      <c r="D105" s="193"/>
      <c r="E105" s="193"/>
      <c r="F105" s="193"/>
      <c r="G105" s="193"/>
      <c r="H105" s="193"/>
      <c r="I105" s="193"/>
      <c r="J105" s="195"/>
    </row>
  </sheetData>
  <mergeCells count="22">
    <mergeCell ref="B86:B88"/>
    <mergeCell ref="D86:F86"/>
    <mergeCell ref="G86:I86"/>
    <mergeCell ref="J86:J88"/>
    <mergeCell ref="D87:F87"/>
    <mergeCell ref="G87:I87"/>
    <mergeCell ref="J9:J11"/>
    <mergeCell ref="A103:B103"/>
    <mergeCell ref="A44:A46"/>
    <mergeCell ref="B44:B46"/>
    <mergeCell ref="D44:F44"/>
    <mergeCell ref="G44:I44"/>
    <mergeCell ref="J44:J46"/>
    <mergeCell ref="D45:F45"/>
    <mergeCell ref="G45:I45"/>
    <mergeCell ref="A86:A88"/>
    <mergeCell ref="A9:A11"/>
    <mergeCell ref="B9:B11"/>
    <mergeCell ref="D9:F9"/>
    <mergeCell ref="G9:I9"/>
    <mergeCell ref="D10:F10"/>
    <mergeCell ref="G10:I10"/>
  </mergeCells>
  <pageMargins left="0.51181102362204722" right="0.31496062992125984" top="0.35433070866141736" bottom="0.15748031496062992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9</vt:i4>
      </vt:variant>
    </vt:vector>
  </HeadingPairs>
  <TitlesOfParts>
    <vt:vector size="9" baseType="lpstr">
      <vt:lpstr>บัญชีจัดคนสู่ตำแหน่ง(ในเล่ม)</vt:lpstr>
      <vt:lpstr>บัญชีจัดคนสู่ตำแหน่ง(แนบคำสั่ง)</vt:lpstr>
      <vt:lpstr>กรอบอัตรากำลัง2</vt:lpstr>
      <vt:lpstr>กรอบอัตรากำลัง</vt:lpstr>
      <vt:lpstr>จัดคนลงสู่ตำแหน่งแนบคำสั่ง</vt:lpstr>
      <vt:lpstr>ภาระค่าใช้จ่าย58-60ม</vt:lpstr>
      <vt:lpstr>บัญชีจัดคนลงสู่ตำแหน่ง</vt:lpstr>
      <vt:lpstr>ข้อ 8.2</vt:lpstr>
      <vt:lpstr>Sheet3</vt:lpstr>
    </vt:vector>
  </TitlesOfParts>
  <Company>Computer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HomeUser</dc:creator>
  <cp:lastModifiedBy>i7Fatal</cp:lastModifiedBy>
  <cp:lastPrinted>2017-06-09T06:49:59Z</cp:lastPrinted>
  <dcterms:created xsi:type="dcterms:W3CDTF">2014-08-27T07:48:00Z</dcterms:created>
  <dcterms:modified xsi:type="dcterms:W3CDTF">2017-06-09T09:33:17Z</dcterms:modified>
</cp:coreProperties>
</file>